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DeParre\Desktop\2022 Yealy Reports\"/>
    </mc:Choice>
  </mc:AlternateContent>
  <bookViews>
    <workbookView xWindow="0" yWindow="0" windowWidth="19905" windowHeight="6615" tabRatio="807" firstSheet="1" activeTab="8"/>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5" i="58" l="1"/>
  <c r="Q14" i="58"/>
  <c r="Q13" i="58"/>
  <c r="Q12" i="58"/>
  <c r="Q11" i="58"/>
  <c r="Q10" i="58"/>
  <c r="Q9" i="58"/>
  <c r="Q8" i="58"/>
  <c r="Q7" i="58"/>
  <c r="Q6" i="58"/>
  <c r="Q5" i="58"/>
  <c r="Q12" i="21" l="1"/>
  <c r="Q11" i="21"/>
  <c r="Q10" i="21"/>
  <c r="Q9" i="21"/>
  <c r="Q8" i="21"/>
  <c r="Q7" i="21"/>
  <c r="Q6" i="21"/>
  <c r="Q5" i="21"/>
  <c r="M299" i="70" l="1"/>
  <c r="P269" i="70"/>
  <c r="A265" i="70"/>
  <c r="O240" i="70"/>
  <c r="O239" i="70"/>
  <c r="A237" i="70"/>
  <c r="O214" i="70"/>
  <c r="A210" i="70"/>
  <c r="O168" i="70"/>
  <c r="A165" i="70"/>
  <c r="O123" i="70"/>
  <c r="A120" i="70"/>
  <c r="P89" i="70"/>
  <c r="A86" i="70"/>
  <c r="A52" i="70"/>
  <c r="M49" i="70"/>
  <c r="M48" i="70"/>
  <c r="I42" i="70"/>
  <c r="I34" i="70"/>
  <c r="C34" i="70"/>
  <c r="F28" i="70"/>
  <c r="A12" i="70"/>
  <c r="C10" i="70"/>
  <c r="B10" i="70"/>
  <c r="C9" i="70"/>
  <c r="B9" i="70"/>
  <c r="G148" i="70" s="1"/>
  <c r="C8" i="70"/>
  <c r="M299" i="69"/>
  <c r="P269" i="69"/>
  <c r="A265" i="69"/>
  <c r="O240" i="69"/>
  <c r="A237" i="69"/>
  <c r="O214" i="69"/>
  <c r="A210" i="69"/>
  <c r="O168" i="69"/>
  <c r="A165" i="69"/>
  <c r="O123" i="69"/>
  <c r="A120" i="69"/>
  <c r="P89" i="69"/>
  <c r="A86" i="69"/>
  <c r="A52" i="69"/>
  <c r="M49" i="69"/>
  <c r="M48" i="69"/>
  <c r="I42" i="69"/>
  <c r="I34" i="69"/>
  <c r="C34" i="69"/>
  <c r="F28" i="69"/>
  <c r="A12" i="69"/>
  <c r="C10" i="69"/>
  <c r="B10" i="69"/>
  <c r="C9" i="69"/>
  <c r="B9" i="69"/>
  <c r="C8" i="69"/>
  <c r="M299" i="68"/>
  <c r="P269" i="68"/>
  <c r="P268" i="68"/>
  <c r="A265" i="68"/>
  <c r="O240" i="68"/>
  <c r="O239" i="68"/>
  <c r="A237" i="68"/>
  <c r="O214" i="68"/>
  <c r="O213" i="68"/>
  <c r="A210" i="68"/>
  <c r="O168" i="68"/>
  <c r="O167" i="68"/>
  <c r="A165" i="68"/>
  <c r="O123" i="68"/>
  <c r="O122" i="68"/>
  <c r="A120" i="68"/>
  <c r="P89" i="68"/>
  <c r="P88" i="68"/>
  <c r="A86" i="68"/>
  <c r="A52" i="68"/>
  <c r="M49" i="68"/>
  <c r="M48" i="68"/>
  <c r="I42" i="68"/>
  <c r="I34" i="68"/>
  <c r="C34" i="68"/>
  <c r="F28" i="68"/>
  <c r="A12" i="68"/>
  <c r="C10" i="68"/>
  <c r="B10" i="68"/>
  <c r="C9" i="68"/>
  <c r="B9" i="68"/>
  <c r="Q159" i="68" s="1"/>
  <c r="C8" i="68"/>
  <c r="M299" i="67"/>
  <c r="P269" i="67"/>
  <c r="P268" i="67"/>
  <c r="A265" i="67"/>
  <c r="O240" i="67"/>
  <c r="O239" i="67"/>
  <c r="A237" i="67"/>
  <c r="O214" i="67"/>
  <c r="O213" i="67"/>
  <c r="A210" i="67"/>
  <c r="O168" i="67"/>
  <c r="O167" i="67"/>
  <c r="A165" i="67"/>
  <c r="O123" i="67"/>
  <c r="O122" i="67"/>
  <c r="A120" i="67"/>
  <c r="P89" i="67"/>
  <c r="P88" i="67"/>
  <c r="A86" i="67"/>
  <c r="C64" i="67"/>
  <c r="C58" i="67"/>
  <c r="A52" i="67"/>
  <c r="M49" i="67"/>
  <c r="M48" i="67"/>
  <c r="I42" i="67"/>
  <c r="I34" i="67"/>
  <c r="C34" i="67"/>
  <c r="F28" i="67"/>
  <c r="A12" i="67"/>
  <c r="C10" i="67"/>
  <c r="B10" i="67"/>
  <c r="C9" i="67"/>
  <c r="B9" i="67"/>
  <c r="J289" i="67" s="1"/>
  <c r="C8" i="67"/>
  <c r="A265" i="59"/>
  <c r="A237" i="59"/>
  <c r="A210" i="59"/>
  <c r="A165" i="59"/>
  <c r="A120" i="59"/>
  <c r="A86" i="59"/>
  <c r="A52" i="59"/>
  <c r="I42" i="59"/>
  <c r="I34" i="59"/>
  <c r="C34" i="59"/>
  <c r="F28" i="59"/>
  <c r="C9" i="59"/>
  <c r="A12" i="59"/>
  <c r="C10" i="59"/>
  <c r="C8" i="59"/>
  <c r="K76" i="70" l="1"/>
  <c r="G37" i="70"/>
  <c r="E60" i="70"/>
  <c r="H60" i="70" s="1"/>
  <c r="F133" i="70"/>
  <c r="G41" i="70"/>
  <c r="M77" i="70"/>
  <c r="H135" i="70"/>
  <c r="K135" i="70" s="1"/>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I222" i="70"/>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E162" i="70"/>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J100" i="70"/>
  <c r="M99" i="70"/>
  <c r="L116" i="70" s="1"/>
  <c r="I303" i="70"/>
  <c r="I296" i="70"/>
  <c r="D286" i="70"/>
  <c r="L282" i="70"/>
  <c r="I277" i="70"/>
  <c r="K273" i="70"/>
  <c r="I270" i="70"/>
  <c r="E249" i="70"/>
  <c r="H249" i="70" s="1"/>
  <c r="M233" i="70"/>
  <c r="N228" i="70"/>
  <c r="H221" i="70"/>
  <c r="K221" i="70" s="1"/>
  <c r="F217" i="70"/>
  <c r="I217" i="70" s="1"/>
  <c r="F208" i="70"/>
  <c r="D200" i="70"/>
  <c r="F200" i="70" s="1"/>
  <c r="H186" i="70"/>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I100" i="70"/>
  <c r="K302" i="70"/>
  <c r="J295" i="70"/>
  <c r="E290" i="70"/>
  <c r="E282" i="70"/>
  <c r="J273" i="70"/>
  <c r="D270" i="70"/>
  <c r="L248" i="70"/>
  <c r="K244" i="70"/>
  <c r="H233" i="70"/>
  <c r="C231" i="70"/>
  <c r="D231" i="70" s="1"/>
  <c r="G228" i="70"/>
  <c r="E217" i="70"/>
  <c r="D199" i="70"/>
  <c r="F199" i="70" s="1"/>
  <c r="G186" i="70"/>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J222" i="70"/>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F92" i="70"/>
  <c r="L81" i="70"/>
  <c r="D81" i="70"/>
  <c r="J80" i="70"/>
  <c r="B80" i="70"/>
  <c r="C80" i="70" s="1"/>
  <c r="H79" i="70"/>
  <c r="N78" i="70"/>
  <c r="F78" i="70"/>
  <c r="L77" i="70"/>
  <c r="D77" i="70"/>
  <c r="J76" i="70"/>
  <c r="B76" i="70"/>
  <c r="H75" i="70"/>
  <c r="N74" i="70"/>
  <c r="L73" i="70"/>
  <c r="D73" i="70"/>
  <c r="F66" i="70"/>
  <c r="I66" i="70" s="1"/>
  <c r="G65" i="70"/>
  <c r="J65" i="70" s="1"/>
  <c r="B62" i="70"/>
  <c r="C61" i="70"/>
  <c r="D60" i="70"/>
  <c r="E59" i="70"/>
  <c r="H59" i="70" s="1"/>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G40" i="70"/>
  <c r="J24" i="70"/>
  <c r="J22" i="70"/>
  <c r="J20" i="70"/>
  <c r="J18" i="70"/>
  <c r="J16" i="70"/>
  <c r="M100" i="70"/>
  <c r="L94" i="70"/>
  <c r="J92" i="70"/>
  <c r="H81" i="70"/>
  <c r="F80" i="70"/>
  <c r="D79" i="70"/>
  <c r="B78" i="70"/>
  <c r="C78" i="70" s="1"/>
  <c r="H77" i="70"/>
  <c r="L75" i="70"/>
  <c r="D75" i="70"/>
  <c r="C74" i="70"/>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D92" i="70"/>
  <c r="J81" i="70"/>
  <c r="B81" i="70"/>
  <c r="H80" i="70"/>
  <c r="N79" i="70"/>
  <c r="F79" i="70"/>
  <c r="L78" i="70"/>
  <c r="D78" i="70"/>
  <c r="J77" i="70"/>
  <c r="B77" i="70"/>
  <c r="H76" i="70"/>
  <c r="N75" i="70"/>
  <c r="F75" i="70"/>
  <c r="L74" i="70"/>
  <c r="D74" i="70"/>
  <c r="J73" i="70"/>
  <c r="D66" i="70"/>
  <c r="E65" i="70"/>
  <c r="H65" i="70" s="1"/>
  <c r="F64" i="70"/>
  <c r="I64" i="70" s="1"/>
  <c r="G63" i="70"/>
  <c r="J63" i="70" s="1"/>
  <c r="B60" i="70"/>
  <c r="C59" i="70"/>
  <c r="D58" i="70"/>
  <c r="G43" i="70"/>
  <c r="K39" i="70"/>
  <c r="G35" i="70"/>
  <c r="F31"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L111" i="70"/>
  <c r="E94" i="70"/>
  <c r="H93" i="70"/>
  <c r="K92" i="70"/>
  <c r="I81" i="70"/>
  <c r="O80" i="70"/>
  <c r="G80" i="70"/>
  <c r="M79" i="70"/>
  <c r="E79" i="70"/>
  <c r="K78" i="70"/>
  <c r="I77" i="70"/>
  <c r="O76" i="70"/>
  <c r="G76" i="70"/>
  <c r="M75" i="70"/>
  <c r="K74" i="70"/>
  <c r="I73" i="70"/>
  <c r="C66" i="70"/>
  <c r="D65" i="70"/>
  <c r="E64" i="70"/>
  <c r="H64" i="70" s="1"/>
  <c r="F63" i="70"/>
  <c r="I63" i="70" s="1"/>
  <c r="G62" i="70"/>
  <c r="J62" i="70" s="1"/>
  <c r="B59" i="70"/>
  <c r="G39" i="70"/>
  <c r="F24" i="70"/>
  <c r="F22" i="70"/>
  <c r="F20" i="70"/>
  <c r="F18" i="70"/>
  <c r="F16"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K114" i="70" s="1"/>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K116" i="70" s="1"/>
  <c r="F98" i="70"/>
  <c r="I97" i="70"/>
  <c r="L96" i="70"/>
  <c r="D96" i="70"/>
  <c r="G95" i="70"/>
  <c r="J94" i="70"/>
  <c r="M93" i="70"/>
  <c r="L110" i="70" s="1"/>
  <c r="E93" i="70"/>
  <c r="H92" i="70"/>
  <c r="N81" i="70"/>
  <c r="F81" i="70"/>
  <c r="L80" i="70"/>
  <c r="D80" i="70"/>
  <c r="J79" i="70"/>
  <c r="B79" i="70"/>
  <c r="C79" i="70" s="1"/>
  <c r="H78" i="70"/>
  <c r="N77" i="70"/>
  <c r="F77" i="70"/>
  <c r="L76" i="70"/>
  <c r="D76" i="70"/>
  <c r="J75" i="70"/>
  <c r="H74" i="70"/>
  <c r="N73" i="70"/>
  <c r="B64" i="70"/>
  <c r="C63" i="70"/>
  <c r="D62" i="70"/>
  <c r="E61" i="70"/>
  <c r="H61" i="70" s="1"/>
  <c r="F60" i="70"/>
  <c r="I60" i="70" s="1"/>
  <c r="G59" i="70"/>
  <c r="J59" i="70" s="1"/>
  <c r="H23" i="70"/>
  <c r="H21" i="70"/>
  <c r="H19" i="70"/>
  <c r="H17" i="70"/>
  <c r="E77" i="70"/>
  <c r="D61" i="70"/>
  <c r="J154" i="70"/>
  <c r="C62" i="70"/>
  <c r="I79"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F110" i="69"/>
  <c r="M100" i="69"/>
  <c r="L117" i="69" s="1"/>
  <c r="E100" i="69"/>
  <c r="H99" i="69"/>
  <c r="K98" i="69"/>
  <c r="B98" i="69"/>
  <c r="F97" i="69"/>
  <c r="I96" i="69"/>
  <c r="L95" i="69"/>
  <c r="D95" i="69"/>
  <c r="G94" i="69"/>
  <c r="J93" i="69"/>
  <c r="M92" i="69"/>
  <c r="E92" i="69"/>
  <c r="K81" i="69"/>
  <c r="I80" i="69"/>
  <c r="O79" i="69"/>
  <c r="G79" i="69"/>
  <c r="M78" i="69"/>
  <c r="E78" i="69"/>
  <c r="K77" i="69"/>
  <c r="I76" i="69"/>
  <c r="O75" i="69"/>
  <c r="G75"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C74" i="69"/>
  <c r="H73" i="69"/>
  <c r="B66" i="69"/>
  <c r="C65" i="69"/>
  <c r="D64" i="69"/>
  <c r="E63" i="69"/>
  <c r="H63" i="69" s="1"/>
  <c r="F62" i="69"/>
  <c r="I62" i="69" s="1"/>
  <c r="G61" i="69"/>
  <c r="J61" i="69" s="1"/>
  <c r="B58" i="69"/>
  <c r="L23" i="69"/>
  <c r="L21" i="69"/>
  <c r="L19"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L184" i="69"/>
  <c r="K177" i="69"/>
  <c r="L160" i="69"/>
  <c r="J151" i="69"/>
  <c r="L77" i="69"/>
  <c r="L24" i="69"/>
  <c r="N78" i="69"/>
  <c r="M95" i="69"/>
  <c r="L112" i="69" s="1"/>
  <c r="H114" i="69"/>
  <c r="H94" i="69"/>
  <c r="F78" i="69"/>
  <c r="H75" i="69"/>
  <c r="B80" i="69"/>
  <c r="C80" i="69" s="1"/>
  <c r="G97" i="69"/>
  <c r="D110" i="69"/>
  <c r="G110" i="69" s="1"/>
  <c r="B116" i="69"/>
  <c r="E116" i="69" s="1"/>
  <c r="H126" i="69"/>
  <c r="L22"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L98" i="69"/>
  <c r="I111" i="69"/>
  <c r="F128" i="69"/>
  <c r="C61" i="69"/>
  <c r="C113" i="69"/>
  <c r="F113" i="69" s="1"/>
  <c r="B62" i="69"/>
  <c r="E133" i="69"/>
  <c r="L2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K116" i="68" s="1"/>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113" i="67" s="1"/>
  <c r="K96" i="67"/>
  <c r="H97" i="67"/>
  <c r="E98" i="67"/>
  <c r="B99" i="67"/>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K114" i="69" l="1"/>
  <c r="K116" i="67"/>
  <c r="M270" i="70"/>
  <c r="K113" i="69"/>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M291" i="70"/>
  <c r="E307" i="70"/>
  <c r="I297" i="70"/>
  <c r="F307" i="70"/>
  <c r="E82" i="70"/>
  <c r="K116" i="69"/>
  <c r="J58" i="70"/>
  <c r="G67" i="70"/>
  <c r="J67" i="70" s="1"/>
  <c r="F67" i="70"/>
  <c r="I67" i="70" s="1"/>
  <c r="L82" i="70"/>
  <c r="K163" i="70"/>
  <c r="E187" i="70"/>
  <c r="H187" i="70" s="1"/>
  <c r="H171" i="70"/>
  <c r="I216" i="70"/>
  <c r="I223" i="70"/>
  <c r="J216" i="70"/>
  <c r="G223" i="70"/>
  <c r="J223" i="70" s="1"/>
  <c r="M284" i="70"/>
  <c r="G307" i="70"/>
  <c r="C235" i="70"/>
  <c r="M301" i="70"/>
  <c r="M163" i="70"/>
  <c r="J25" i="70"/>
  <c r="E67"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K118" i="69" l="1"/>
  <c r="M278" i="69"/>
  <c r="M307" i="70"/>
  <c r="M278" i="70"/>
  <c r="M297" i="70"/>
  <c r="K35" i="70"/>
  <c r="H67" i="70"/>
  <c r="H6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69" l="1"/>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K110" i="59"/>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C76" i="70" l="1"/>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C73" i="70"/>
  <c r="F263" i="70"/>
  <c r="C81" i="70"/>
  <c r="E160" i="70"/>
  <c r="L117" i="70"/>
  <c r="G209" i="70"/>
  <c r="L118" i="70"/>
  <c r="K41" i="70"/>
  <c r="K111" i="70"/>
  <c r="C75" i="70"/>
  <c r="E148" i="70"/>
  <c r="K118"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<sst xmlns="http://schemas.openxmlformats.org/spreadsheetml/2006/main" count="2962" uniqueCount="766">
  <si>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</si>
  <si>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</si>
  <si>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</si>
  <si>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</si>
  <si>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</si>
  <si>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</si>
  <si>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</si>
  <si>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</si>
  <si>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</si>
  <si>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</si>
  <si>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</si>
  <si>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</si>
  <si>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</si>
  <si>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</si>
  <si>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</si>
  <si>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</si>
  <si>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</si>
  <si>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</si>
  <si>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</si>
  <si>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</si>
  <si>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</si>
  <si>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</si>
  <si>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</si>
  <si>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</si>
  <si>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</si>
  <si>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</si>
  <si>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</si>
  <si>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</si>
  <si>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</si>
  <si>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</si>
  <si>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</si>
  <si>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</si>
  <si>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</si>
  <si>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</si>
  <si>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</si>
  <si>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</si>
  <si>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</si>
  <si>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</si>
  <si>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</si>
  <si>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</si>
  <si>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</si>
  <si>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</si>
  <si>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</si>
  <si>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</si>
  <si>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</si>
  <si>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</si>
  <si>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</si>
  <si>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</si>
  <si>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</si>
  <si>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</si>
  <si>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</si>
  <si>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</si>
  <si>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</si>
  <si>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</si>
  <si>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</si>
  <si>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</si>
  <si>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</si>
  <si>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</si>
  <si>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</si>
  <si>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</si>
  <si>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</si>
  <si>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</si>
  <si>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</si>
  <si>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</si>
  <si>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</si>
  <si>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</si>
  <si>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</si>
  <si>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</si>
  <si>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</si>
  <si>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</si>
  <si>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</si>
  <si>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</si>
  <si>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</si>
  <si>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</si>
  <si>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</si>
  <si>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</si>
  <si>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</si>
  <si>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</si>
  <si>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</si>
  <si>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</si>
  <si>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</si>
  <si>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</si>
  <si>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</si>
  <si>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</si>
  <si>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</si>
  <si>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</si>
  <si>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</si>
  <si>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</si>
  <si>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</si>
  <si>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</si>
  <si>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</si>
  <si>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</si>
  <si>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</si>
  <si>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</si>
  <si>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</si>
  <si>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</si>
  <si>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</si>
  <si>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</si>
  <si>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</si>
  <si>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</si>
  <si>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</si>
  <si>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</si>
  <si>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</si>
  <si>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</si>
  <si>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</si>
  <si>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</si>
  <si>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</si>
  <si>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</si>
  <si>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</si>
  <si>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</si>
  <si>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</si>
  <si>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</si>
  <si>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</si>
  <si>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</si>
  <si>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</si>
  <si>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</si>
  <si>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</si>
  <si>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</si>
  <si>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</si>
  <si>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</si>
  <si>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</si>
  <si>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</si>
  <si>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</si>
  <si>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</si>
  <si>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</si>
  <si>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</si>
  <si>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</si>
  <si>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</si>
  <si>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</si>
  <si>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</si>
  <si>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</si>
  <si>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</si>
  <si>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</si>
  <si>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</si>
  <si>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</si>
  <si>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</si>
  <si>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</si>
  <si>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</si>
  <si>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</si>
  <si>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</si>
  <si>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</si>
  <si>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</si>
  <si>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</si>
  <si>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</si>
  <si>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</si>
  <si>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</si>
  <si>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</si>
  <si>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</si>
  <si>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</si>
  <si>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</si>
  <si>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</si>
  <si>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</si>
  <si>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</si>
  <si>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</si>
  <si>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</si>
  <si>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</si>
  <si>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</si>
  <si>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</si>
  <si>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</si>
  <si>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</si>
  <si>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</si>
  <si>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</si>
  <si>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</si>
  <si>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</si>
  <si>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</si>
  <si>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</si>
  <si>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</si>
  <si>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</si>
  <si>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</si>
  <si>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</si>
  <si>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</si>
  <si>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</si>
  <si>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</si>
  <si>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</si>
  <si>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</si>
  <si>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</si>
  <si>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</si>
  <si>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</si>
  <si>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</si>
  <si>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</si>
  <si>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</si>
  <si>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</si>
  <si>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</si>
  <si>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</si>
  <si>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</si>
  <si>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</si>
  <si>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</si>
  <si>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</si>
  <si>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</si>
  <si>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</si>
  <si>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</si>
  <si>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</si>
  <si>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</si>
  <si>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</si>
  <si>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</si>
  <si>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</si>
  <si>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</si>
  <si>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</si>
  <si>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</si>
  <si>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</si>
  <si>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</si>
  <si>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</si>
  <si>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</si>
  <si>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</si>
  <si>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</si>
  <si>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</si>
  <si>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</si>
  <si>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</si>
  <si>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</si>
  <si>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</si>
  <si>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</si>
  <si>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</si>
  <si>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</si>
  <si>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</si>
  <si>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</si>
  <si>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</si>
  <si>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</si>
  <si>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</si>
  <si>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</si>
  <si>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</si>
  <si>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</si>
  <si>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</si>
  <si>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</si>
  <si>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</si>
  <si>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</si>
  <si>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</si>
  <si>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</si>
  <si>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</si>
  <si>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</si>
  <si>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</si>
  <si>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</si>
  <si>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</si>
  <si>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</si>
  <si>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</si>
  <si>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</si>
  <si>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</si>
  <si>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</si>
  <si>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</si>
  <si>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</si>
  <si>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</si>
  <si>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</si>
  <si>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</si>
  <si>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</si>
  <si>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</si>
  <si>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</si>
  <si>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</si>
  <si>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</si>
  <si>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</si>
  <si>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</si>
  <si>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</si>
  <si>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</si>
  <si>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</si>
  <si>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</si>
  <si>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</si>
  <si>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</si>
  <si>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</si>
  <si>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</si>
  <si>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</si>
  <si>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</si>
  <si>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</si>
  <si>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</si>
  <si>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</si>
  <si>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</si>
  <si>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</si>
  <si>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</si>
  <si>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</si>
  <si>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</si>
  <si>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</si>
  <si>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</si>
  <si>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</si>
  <si>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</si>
  <si>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</si>
  <si>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</si>
  <si>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</si>
  <si>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</si>
  <si>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</si>
  <si>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</si>
  <si>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</si>
  <si>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</si>
  <si>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</si>
  <si>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</si>
  <si>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</si>
  <si>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</si>
  <si>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</si>
  <si>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</si>
  <si>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</si>
  <si>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</si>
  <si>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</si>
  <si>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</si>
  <si>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</si>
  <si>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</si>
  <si>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</si>
  <si>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</si>
  <si>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</si>
  <si>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</si>
  <si>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</si>
  <si>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</si>
  <si>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</si>
  <si>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</si>
  <si>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</si>
  <si>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</si>
  <si>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</si>
  <si>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</si>
  <si>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</si>
  <si>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</si>
  <si>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</si>
  <si>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</si>
  <si>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</si>
  <si>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</si>
  <si>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</si>
  <si>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</si>
  <si>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</si>
  <si>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</si>
  <si>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</si>
  <si>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</si>
  <si>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</si>
  <si>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</si>
  <si>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</si>
  <si>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</si>
  <si>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</si>
  <si>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</si>
  <si>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</si>
  <si>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</si>
  <si>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</si>
  <si>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</si>
  <si>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</si>
  <si>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</si>
  <si>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</si>
  <si>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</si>
  <si>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</si>
  <si>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</si>
  <si>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</si>
  <si>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</si>
  <si>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</si>
  <si>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</si>
  <si>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</si>
  <si>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</si>
  <si>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</si>
  <si>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</si>
  <si>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</si>
  <si>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</si>
  <si>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</si>
  <si>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</si>
  <si>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</si>
  <si>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</si>
  <si>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</si>
  <si>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</si>
  <si>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</si>
  <si>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</si>
  <si>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</si>
  <si>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</si>
  <si>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</si>
  <si>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</si>
  <si>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</si>
  <si>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</si>
  <si>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</si>
  <si>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</si>
  <si>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</si>
  <si>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</si>
  <si>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</si>
  <si>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</si>
  <si>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</si>
  <si>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</si>
  <si>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</si>
  <si>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</si>
  <si>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</si>
  <si>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</si>
  <si>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</si>
  <si>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</si>
  <si>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</si>
  <si>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</si>
  <si>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</si>
  <si>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</si>
  <si>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</si>
  <si>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</si>
  <si>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</si>
  <si>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</si>
  <si>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</si>
  <si>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</si>
  <si>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</si>
  <si>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</si>
  <si>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</si>
  <si>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</si>
  <si>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</si>
  <si>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</si>
  <si>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</si>
  <si>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</si>
  <si>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</si>
  <si>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</si>
  <si>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</si>
  <si>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</si>
  <si>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</si>
  <si>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</si>
  <si>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</si>
  <si>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</si>
  <si>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</si>
  <si>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</si>
  <si>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</si>
  <si>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</si>
  <si>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</si>
  <si>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</si>
  <si>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</si>
  <si>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</si>
  <si>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</si>
  <si>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</si>
  <si>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</si>
  <si>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</si>
  <si>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</si>
  <si>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</si>
  <si>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</si>
  <si>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</si>
  <si>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</si>
  <si>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</si>
  <si>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</si>
  <si>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</si>
  <si>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</si>
  <si>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</si>
  <si>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</si>
  <si>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</si>
  <si>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</si>
  <si>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</si>
  <si>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</si>
  <si>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</si>
  <si>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</si>
  <si>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</si>
  <si>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</si>
  <si>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</si>
  <si>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</si>
  <si>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</si>
  <si>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</si>
  <si>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</si>
  <si>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</si>
  <si>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</si>
  <si>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</si>
  <si>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</si>
  <si>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</si>
  <si>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</si>
  <si>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</si>
  <si>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</si>
  <si>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</si>
  <si>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</si>
  <si>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</si>
  <si>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</si>
  <si>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</si>
  <si>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</si>
  <si>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</si>
  <si>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</si>
  <si>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</si>
  <si>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</si>
  <si>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</si>
  <si>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</si>
  <si>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</si>
  <si>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</si>
  <si>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</si>
  <si>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</si>
  <si>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</si>
  <si>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</si>
  <si>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</si>
  <si>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</si>
  <si>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</si>
  <si>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</si>
  <si>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</si>
  <si>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</si>
  <si>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</si>
  <si>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</si>
  <si>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</si>
  <si>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</si>
  <si>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</si>
  <si>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</si>
  <si>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</si>
  <si>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</si>
  <si>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</si>
  <si>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</si>
  <si>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</si>
  <si>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</si>
  <si>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</si>
  <si>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</si>
  <si>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</si>
  <si>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</si>
  <si>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</si>
  <si>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</si>
  <si>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</si>
  <si>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</si>
  <si>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</si>
  <si>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</si>
  <si>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</si>
  <si>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</si>
  <si>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</si>
  <si>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</si>
  <si>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</si>
  <si>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</si>
  <si>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</si>
  <si>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</si>
  <si>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</si>
  <si>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</si>
  <si>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</si>
  <si>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</si>
  <si>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</si>
  <si>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</si>
  <si>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</si>
  <si>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</si>
  <si>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</si>
  <si>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</si>
  <si>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</si>
  <si>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</si>
  <si>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</si>
  <si>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</si>
  <si>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</si>
  <si>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</si>
  <si>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</si>
  <si>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</si>
  <si>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</si>
  <si>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</si>
  <si>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</si>
  <si>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</si>
  <si>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</si>
  <si>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</si>
  <si>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</si>
  <si>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</si>
  <si>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</si>
  <si>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</si>
  <si>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</si>
  <si>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</si>
  <si>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</si>
  <si>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</si>
  <si>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</si>
  <si>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</si>
  <si>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</si>
  <si>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</si>
  <si>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</si>
  <si>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</si>
  <si>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</si>
  <si>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</si>
  <si>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</si>
  <si>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</si>
  <si>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</si>
  <si>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</si>
  <si>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</si>
  <si>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</si>
  <si>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</si>
  <si>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</si>
  <si>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</si>
  <si>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</si>
  <si>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</si>
  <si>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</si>
  <si>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</si>
  <si>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</si>
  <si>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</si>
  <si>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</si>
  <si>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</si>
  <si>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</si>
  <si>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</si>
  <si>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</si>
  <si>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</si>
  <si>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</si>
  <si>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</si>
  <si>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</si>
  <si>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</si>
  <si>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</si>
  <si>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</si>
  <si>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</si>
  <si>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</si>
  <si>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</si>
  <si>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</si>
  <si>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</si>
  <si>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</si>
  <si>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</si>
  <si>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</si>
  <si>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</si>
  <si>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</si>
  <si>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</si>
  <si>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</si>
  <si>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</si>
  <si>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</si>
  <si>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</si>
  <si>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</si>
  <si>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</si>
  <si>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</si>
  <si>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</si>
  <si>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</si>
  <si>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</si>
  <si>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</si>
  <si>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</si>
  <si>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</si>
  <si>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</si>
  <si>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</si>
  <si>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</si>
  <si>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</si>
  <si>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</si>
  <si>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</si>
  <si>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</si>
  <si>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</si>
  <si>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</si>
  <si>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</si>
  <si>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</si>
  <si>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</si>
  <si>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</si>
  <si>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</si>
  <si>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</si>
  <si>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</si>
  <si>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</si>
  <si>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</si>
  <si>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</si>
  <si>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</si>
  <si>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</si>
  <si>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</si>
  <si>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</si>
  <si>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</si>
  <si>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</si>
  <si>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</si>
  <si>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</si>
  <si>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</si>
  <si>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</si>
  <si>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</si>
  <si>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</si>
  <si>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</si>
  <si>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</si>
  <si>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</si>
  <si>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</si>
  <si>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</si>
  <si>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</si>
  <si>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</si>
  <si>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</si>
  <si>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</si>
  <si>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</si>
  <si>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</si>
  <si>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</si>
  <si>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</si>
  <si>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</si>
  <si>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</si>
  <si>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</si>
  <si>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</si>
  <si>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</si>
  <si>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</si>
  <si>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</si>
  <si>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</si>
  <si>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</si>
  <si>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</si>
  <si>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</si>
  <si>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</si>
  <si>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</si>
  <si>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</si>
  <si>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</si>
  <si>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</si>
  <si>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</si>
  <si>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</si>
  <si>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</si>
  <si>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</si>
  <si>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</si>
  <si>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</si>
  <si>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</si>
  <si>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</si>
  <si>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</si>
  <si>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</si>
  <si>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</si>
  <si>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</si>
  <si>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</si>
  <si>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</si>
  <si>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</si>
  <si>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</si>
  <si>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</si>
  <si>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</si>
  <si>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</si>
  <si>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</si>
  <si>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</si>
  <si>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</si>
  <si>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</si>
  <si>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</si>
  <si>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</si>
  <si>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</si>
  <si>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</si>
  <si>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</si>
  <si>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</si>
  <si>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</si>
  <si>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</si>
  <si>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</si>
  <si>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</si>
  <si>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</si>
  <si>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</si>
  <si>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</si>
  <si>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</si>
  <si>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</si>
  <si>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</si>
  <si>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</si>
  <si>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</si>
  <si>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</si>
  <si>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</si>
  <si>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</si>
  <si>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</si>
  <si>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</si>
  <si>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</si>
  <si>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</si>
  <si>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</si>
  <si>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</si>
  <si>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</si>
  <si>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</si>
  <si>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</si>
  <si>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</si>
  <si>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</si>
  <si>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</si>
  <si>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</si>
  <si>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</si>
  <si>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</si>
  <si>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</si>
  <si>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</si>
  <si>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</si>
  <si>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</si>
  <si>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</si>
  <si>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</si>
  <si>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</si>
  <si>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</si>
  <si>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</si>
  <si>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</si>
  <si>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</si>
  <si>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</si>
  <si>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</si>
  <si>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</si>
  <si>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</si>
  <si>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</si>
  <si>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</si>
  <si>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</si>
  <si>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</si>
  <si>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</si>
  <si>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</si>
  <si>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</si>
  <si>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</si>
  <si>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</si>
  <si>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</si>
  <si>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</si>
  <si>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</si>
  <si>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</si>
  <si>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</si>
  <si>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</si>
  <si>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</si>
  <si>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</si>
  <si>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</si>
  <si>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</si>
  <si>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</si>
  <si>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</si>
  <si>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</si>
  <si>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</si>
  <si>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</si>
  <si>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</si>
  <si>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</si>
  <si>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</si>
  <si>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</si>
  <si>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</si>
  <si>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</si>
  <si>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</si>
  <si>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</si>
  <si>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</si>
  <si>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</si>
  <si>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</si>
  <si>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</si>
  <si>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</si>
  <si>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</si>
  <si>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 xml:space="preserve">Lower Alloways Creek Police </t>
  </si>
  <si>
    <t>2021-04</t>
  </si>
  <si>
    <t>White</t>
  </si>
  <si>
    <t>Not Hispanic or Latino</t>
  </si>
  <si>
    <t>2022-01</t>
  </si>
  <si>
    <t>Lower Alloways Creek PD</t>
  </si>
  <si>
    <t xml:space="preserve">Lower Alloways Creek </t>
  </si>
  <si>
    <t xml:space="preserve">Lower Alloways Creek PD </t>
  </si>
  <si>
    <t>2022-02</t>
  </si>
  <si>
    <t>Black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</si>
</sst>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357">
    <xf numFmtId="0" fontId="0" fillId="0" borderId="0" xfId="0"/>
    <xf numFmtId="0" fontId="1" fillId="0" borderId="0" xfId="0" applyFont="1"/>
    <xf numFmtId="0" fontId="0" fillId="0" borderId="0" xfId="0" applyBorder="1"/>
    <xf numFmtId="0" fontId="1" fillId="2" borderId="0" xfId="0" applyFont="1" applyFill="1"/>
    <xf numFmtId="0" fontId="0" fillId="0" borderId="3" xfId="0" applyBorder="1"/>
    <xf numFmtId="0" fontId="0" fillId="0" borderId="0" xfId="0" applyFill="1"/>
    <xf numFmtId="0" fontId="0" fillId="3" borderId="0" xfId="0" applyFill="1"/>
    <xf numFmtId="0" fontId="0" fillId="0" borderId="0" xfId="0" applyAlignment="1">
      <alignment wrapText="1"/>
    </xf>
    <xf numFmtId="0" fontId="0" fillId="4" borderId="0" xfId="0" applyFont="1" applyFill="1"/>
    <xf numFmtId="0" fontId="0" fillId="0" borderId="0" xfId="0" applyFont="1"/>
    <xf numFmtId="0" fontId="1" fillId="0" borderId="0" xfId="0" applyFont="1" applyFill="1" applyBorder="1" applyAlignment="1">
      <alignment wrapText="1"/>
    </xf>
    <xf numFmtId="0" fontId="7" fillId="0" borderId="0" xfId="1"/>
    <xf numFmtId="0" fontId="8" fillId="0" borderId="0" xfId="0" applyFont="1" applyAlignment="1"/>
    <xf numFmtId="14" fontId="0" fillId="4" borderId="0" xfId="0" applyNumberFormat="1" applyFont="1" applyFill="1" applyAlignment="1">
      <alignment horizontal="left"/>
    </xf>
    <xf numFmtId="14" fontId="0" fillId="0" borderId="0" xfId="0" applyNumberFormat="1" applyFont="1" applyAlignment="1">
      <alignment horizontal="left"/>
    </xf>
    <xf numFmtId="0" fontId="0" fillId="0" borderId="0" xfId="0" applyFont="1" applyAlignment="1">
      <alignment horizontal="left"/>
    </xf>
    <xf numFmtId="0" fontId="0" fillId="0" borderId="0" xfId="0" applyAlignment="1">
      <alignment horizontal="left"/>
    </xf>
    <xf numFmtId="0" fontId="0" fillId="0" borderId="3" xfId="0" applyFont="1" applyBorder="1" applyAlignment="1">
      <alignment horizontal="left"/>
    </xf>
    <xf numFmtId="0" fontId="1" fillId="0" borderId="5" xfId="0" applyFont="1" applyBorder="1" applyAlignment="1">
      <alignment horizontal="left" wrapText="1"/>
    </xf>
    <xf numFmtId="0" fontId="0" fillId="5" borderId="0" xfId="0" applyFont="1" applyFill="1" applyAlignment="1">
      <alignment horizontal="left"/>
    </xf>
    <xf numFmtId="0" fontId="0" fillId="0" borderId="0" xfId="0" applyFont="1" applyBorder="1" applyAlignment="1">
      <alignment horizontal="left"/>
    </xf>
    <xf numFmtId="0" fontId="0" fillId="0" borderId="0" xfId="0" applyFont="1" applyBorder="1"/>
    <xf numFmtId="0" fontId="0" fillId="0" borderId="3" xfId="0" applyFont="1" applyBorder="1"/>
    <xf numFmtId="14" fontId="0" fillId="0" borderId="0" xfId="0" applyNumberFormat="1" applyFont="1" applyBorder="1" applyAlignment="1">
      <alignment horizontal="left"/>
    </xf>
    <xf numFmtId="14" fontId="0" fillId="0" borderId="3" xfId="0" applyNumberFormat="1" applyFont="1" applyBorder="1" applyAlignment="1">
      <alignment horizontal="left"/>
    </xf>
    <xf numFmtId="14" fontId="0" fillId="0" borderId="0" xfId="0" applyNumberFormat="1" applyAlignment="1">
      <alignment horizontal="left"/>
    </xf>
    <xf numFmtId="14" fontId="0" fillId="0" borderId="0" xfId="0" applyNumberFormat="1" applyFont="1" applyFill="1" applyAlignment="1">
      <alignment horizontal="left"/>
    </xf>
    <xf numFmtId="0" fontId="0" fillId="0" borderId="0" xfId="0" applyFont="1" applyFill="1" applyAlignment="1">
      <alignment horizontal="left"/>
    </xf>
    <xf numFmtId="0" fontId="0" fillId="5" borderId="0" xfId="0" applyFont="1" applyFill="1"/>
    <xf numFmtId="14" fontId="0" fillId="5" borderId="0" xfId="0" applyNumberFormat="1" applyFont="1" applyFill="1" applyAlignment="1">
      <alignment horizontal="left"/>
    </xf>
    <xf numFmtId="0" fontId="10" fillId="0" borderId="0" xfId="0" applyFont="1" applyBorder="1" applyAlignment="1">
      <alignment horizontal="center"/>
    </xf>
    <xf numFmtId="14" fontId="0" fillId="0" borderId="0" xfId="0" applyNumberFormat="1" applyFont="1"/>
    <xf numFmtId="14" fontId="0" fillId="4" borderId="0" xfId="0" applyNumberFormat="1" applyFont="1" applyFill="1"/>
    <xf numFmtId="0" fontId="0" fillId="4" borderId="0" xfId="0" applyFont="1" applyFill="1" applyBorder="1"/>
    <xf numFmtId="14" fontId="0" fillId="4" borderId="0" xfId="0" applyNumberFormat="1" applyFont="1" applyFill="1" applyBorder="1" applyAlignment="1">
      <alignment horizontal="left"/>
    </xf>
    <xf numFmtId="14" fontId="0" fillId="4" borderId="0" xfId="0" applyNumberFormat="1" applyFont="1" applyFill="1" applyBorder="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0" fillId="5" borderId="0" xfId="0" applyFont="1" applyFill="1" applyBorder="1" applyAlignment="1">
      <alignment horizontal="left"/>
    </xf>
    <xf numFmtId="0" fontId="0" fillId="0" borderId="0" xfId="0" applyBorder="1" applyAlignment="1"/>
    <xf numFmtId="0" fontId="10" fillId="0" borderId="0" xfId="0" applyFont="1" applyBorder="1" applyAlignment="1"/>
    <xf numFmtId="1" fontId="0" fillId="0" borderId="0" xfId="0" applyNumberFormat="1"/>
    <xf numFmtId="0" fontId="2" fillId="0" borderId="0" xfId="0" applyFont="1" applyBorder="1" applyAlignment="1"/>
    <xf numFmtId="0" fontId="1" fillId="2" borderId="6" xfId="0" applyFont="1" applyFill="1" applyBorder="1"/>
    <xf numFmtId="0" fontId="0" fillId="0" borderId="0" xfId="0"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Border="1" applyAlignment="1">
      <alignment wrapText="1"/>
    </xf>
    <xf numFmtId="0" fontId="1" fillId="0" borderId="0" xfId="0" applyFont="1" applyBorder="1" applyAlignment="1"/>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applyAlignment="1"/>
    <xf numFmtId="0" fontId="0" fillId="0" borderId="9" xfId="0" applyFill="1" applyBorder="1" applyAlignment="1">
      <alignment horizontal="center"/>
    </xf>
    <xf numFmtId="0" fontId="0" fillId="0" borderId="6" xfId="0" applyFill="1" applyBorder="1" applyAlignment="1">
      <alignment horizontal="center"/>
    </xf>
    <xf numFmtId="0" fontId="1" fillId="2" borderId="6" xfId="0" applyFont="1" applyFill="1" applyBorder="1" applyAlignment="1">
      <alignment horizontal="center"/>
    </xf>
    <xf numFmtId="0" fontId="0" fillId="0" borderId="0" xfId="0" applyFont="1" applyFill="1"/>
    <xf numFmtId="0" fontId="2" fillId="0" borderId="0" xfId="0" applyFont="1" applyFill="1" applyBorder="1" applyAlignment="1"/>
    <xf numFmtId="0" fontId="12" fillId="0" borderId="0" xfId="0" applyFont="1" applyFill="1" applyBorder="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0" fillId="5" borderId="0" xfId="0" applyFill="1"/>
    <xf numFmtId="0" fontId="0" fillId="5" borderId="0" xfId="0" applyFill="1" applyBorder="1"/>
    <xf numFmtId="0" fontId="0" fillId="5" borderId="0" xfId="0" applyFont="1" applyFill="1" applyBorder="1"/>
    <xf numFmtId="0" fontId="0" fillId="0" borderId="9" xfId="0" applyBorder="1" applyAlignment="1">
      <alignment horizontal="center"/>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Fill="1" applyBorder="1" applyAlignment="1">
      <alignment horizontal="center" wrapText="1"/>
    </xf>
    <xf numFmtId="0" fontId="1" fillId="0" borderId="10" xfId="0" applyFont="1" applyFill="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3" xfId="0" applyFont="1" applyFill="1" applyBorder="1" applyAlignment="1">
      <alignment horizontal="center"/>
    </xf>
    <xf numFmtId="0" fontId="1" fillId="0" borderId="7" xfId="0" applyFont="1" applyFill="1" applyBorder="1" applyAlignment="1">
      <alignment horizontal="center" wrapText="1"/>
    </xf>
    <xf numFmtId="0" fontId="1" fillId="0" borderId="10" xfId="0" applyFont="1" applyFill="1" applyBorder="1" applyAlignment="1"/>
    <xf numFmtId="0" fontId="1" fillId="0" borderId="3" xfId="0" applyFont="1" applyBorder="1"/>
    <xf numFmtId="0" fontId="0" fillId="0" borderId="10" xfId="0" applyBorder="1" applyAlignment="1">
      <alignment horizontal="center"/>
    </xf>
    <xf numFmtId="0" fontId="0" fillId="0" borderId="6"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0" borderId="4" xfId="0" applyFont="1" applyFill="1" applyBorder="1" applyAlignment="1">
      <alignment wrapText="1"/>
    </xf>
    <xf numFmtId="0" fontId="1" fillId="2" borderId="0" xfId="0" applyFont="1" applyFill="1" applyBorder="1" applyAlignment="1">
      <alignment horizontal="left"/>
    </xf>
    <xf numFmtId="0" fontId="1" fillId="2" borderId="2" xfId="0" applyFont="1" applyFill="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2" fillId="0" borderId="0" xfId="0" applyFont="1" applyBorder="1" applyAlignment="1">
      <alignment horizontal="center"/>
    </xf>
    <xf numFmtId="0" fontId="1" fillId="0" borderId="0" xfId="0" applyFont="1" applyAlignment="1">
      <alignment horizontal="center"/>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3" xfId="0" applyFont="1" applyBorder="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Border="1" applyAlignment="1">
      <alignment horizontal="center"/>
    </xf>
    <xf numFmtId="0" fontId="1" fillId="2" borderId="0" xfId="0" applyFont="1" applyFill="1" applyBorder="1"/>
    <xf numFmtId="0" fontId="0" fillId="0" borderId="8" xfId="0" applyBorder="1" applyAlignment="1">
      <alignment horizontal="center"/>
    </xf>
    <xf numFmtId="0" fontId="0" fillId="0" borderId="2" xfId="0" applyBorder="1"/>
    <xf numFmtId="0" fontId="0" fillId="0" borderId="7" xfId="0" applyBorder="1"/>
    <xf numFmtId="0" fontId="0" fillId="0" borderId="8" xfId="0" applyFill="1" applyBorder="1" applyAlignment="1">
      <alignment horizontal="center"/>
    </xf>
    <xf numFmtId="0" fontId="0" fillId="2" borderId="0" xfId="0" applyFill="1"/>
    <xf numFmtId="0" fontId="0" fillId="2" borderId="7" xfId="0" applyFill="1" applyBorder="1" applyAlignment="1">
      <alignment horizontal="center"/>
    </xf>
    <xf numFmtId="0" fontId="1" fillId="0" borderId="6" xfId="0" applyFont="1" applyFill="1" applyBorder="1" applyAlignment="1">
      <alignment horizontal="center"/>
    </xf>
    <xf numFmtId="0" fontId="1" fillId="0" borderId="9" xfId="0" applyFont="1" applyFill="1" applyBorder="1" applyAlignment="1">
      <alignment horizontal="center"/>
    </xf>
    <xf numFmtId="0" fontId="1" fillId="0" borderId="0" xfId="0" applyFont="1" applyBorder="1"/>
    <xf numFmtId="0" fontId="0" fillId="2" borderId="0" xfId="0" applyFill="1" applyBorder="1"/>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0" borderId="6" xfId="0" applyFill="1" applyBorder="1"/>
    <xf numFmtId="0" fontId="1" fillId="0" borderId="0" xfId="0" applyFont="1" applyAlignment="1">
      <alignment wrapText="1"/>
    </xf>
    <xf numFmtId="0" fontId="0" fillId="2" borderId="6" xfId="0" applyFill="1" applyBorder="1"/>
    <xf numFmtId="0" fontId="1" fillId="0" borderId="0" xfId="0" applyFont="1" applyFill="1" applyBorder="1"/>
    <xf numFmtId="0" fontId="1" fillId="0" borderId="6" xfId="0" applyFont="1" applyFill="1" applyBorder="1"/>
    <xf numFmtId="0" fontId="0" fillId="0" borderId="0" xfId="0" applyFill="1" applyBorder="1"/>
    <xf numFmtId="0" fontId="0" fillId="2" borderId="8" xfId="0" applyFill="1" applyBorder="1"/>
    <xf numFmtId="0" fontId="0" fillId="0" borderId="2" xfId="0" applyFill="1" applyBorder="1"/>
    <xf numFmtId="0" fontId="1" fillId="0" borderId="2" xfId="0" applyFont="1" applyBorder="1" applyAlignment="1">
      <alignment wrapText="1"/>
    </xf>
    <xf numFmtId="0" fontId="0" fillId="0" borderId="9" xfId="0" applyFill="1" applyBorder="1"/>
    <xf numFmtId="0" fontId="0" fillId="2" borderId="9" xfId="0" applyFill="1" applyBorder="1"/>
    <xf numFmtId="0" fontId="0" fillId="0" borderId="9" xfId="0" applyBorder="1"/>
    <xf numFmtId="0" fontId="6" fillId="0" borderId="0" xfId="0" applyFont="1" applyAlignment="1">
      <alignment horizontal="center" vertical="center"/>
    </xf>
    <xf numFmtId="0" fontId="1" fillId="0" borderId="0" xfId="0" applyFont="1" applyFill="1" applyBorder="1" applyAlignment="1">
      <alignment horizontal="left"/>
    </xf>
    <xf numFmtId="0" fontId="0" fillId="2" borderId="0" xfId="0" applyFont="1" applyFill="1" applyBorder="1" applyAlignment="1">
      <alignment horizontal="center"/>
    </xf>
    <xf numFmtId="0" fontId="0" fillId="0" borderId="8" xfId="0" applyFill="1" applyBorder="1"/>
    <xf numFmtId="0" fontId="0" fillId="2" borderId="2"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xf numFmtId="0" fontId="0" fillId="0" borderId="0" xfId="0" applyFont="1" applyFill="1" applyBorder="1" applyAlignment="1">
      <alignment horizontal="center"/>
    </xf>
    <xf numFmtId="0" fontId="0" fillId="0" borderId="2" xfId="0" applyFont="1" applyFill="1" applyBorder="1" applyAlignment="1">
      <alignment horizontal="center"/>
    </xf>
    <xf numFmtId="0" fontId="0" fillId="0" borderId="0" xfId="0" applyFont="1" applyAlignment="1">
      <alignment horizontal="center"/>
    </xf>
    <xf numFmtId="0" fontId="0" fillId="0" borderId="8" xfId="0" applyFont="1" applyBorder="1" applyAlignment="1">
      <alignment horizontal="center"/>
    </xf>
    <xf numFmtId="0" fontId="0" fillId="0" borderId="0" xfId="0" applyFont="1" applyBorder="1" applyAlignment="1">
      <alignment horizontal="center"/>
    </xf>
    <xf numFmtId="0" fontId="0" fillId="2" borderId="0" xfId="0" applyFont="1" applyFill="1" applyAlignment="1">
      <alignment horizontal="center"/>
    </xf>
    <xf numFmtId="0" fontId="0" fillId="0" borderId="2"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xf>
    <xf numFmtId="0" fontId="14" fillId="2" borderId="0" xfId="0" applyFont="1" applyFill="1" applyBorder="1" applyAlignment="1">
      <alignment horizontal="center"/>
    </xf>
    <xf numFmtId="0" fontId="15" fillId="0" borderId="8" xfId="0" applyFont="1" applyFill="1" applyBorder="1" applyAlignment="1">
      <alignment horizontal="right"/>
    </xf>
    <xf numFmtId="0" fontId="15" fillId="0" borderId="9" xfId="0" applyFont="1" applyFill="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7" fillId="0" borderId="0" xfId="0" applyFont="1" applyAlignment="1">
      <alignment horizontal="center"/>
    </xf>
    <xf numFmtId="0" fontId="3" fillId="0" borderId="0" xfId="0" applyFont="1" applyFill="1" applyBorder="1" applyAlignment="1">
      <alignment horizontal="center" wrapText="1"/>
    </xf>
    <xf numFmtId="0" fontId="0" fillId="0" borderId="3" xfId="0" applyBorder="1" applyAlignment="1">
      <alignment horizontal="center"/>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2" borderId="0" xfId="0" applyFont="1" applyFill="1" applyBorder="1" applyAlignment="1">
      <alignment horizontal="center"/>
    </xf>
    <xf numFmtId="0" fontId="1" fillId="0" borderId="3" xfId="0" applyFont="1" applyBorder="1" applyAlignment="1">
      <alignment horizontal="center"/>
    </xf>
    <xf numFmtId="0" fontId="0" fillId="0" borderId="0" xfId="0" applyAlignment="1">
      <alignment horizontal="center"/>
    </xf>
    <xf numFmtId="0" fontId="6" fillId="0" borderId="0" xfId="0" applyFont="1" applyAlignment="1">
      <alignment horizontal="center" vertic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0" fillId="0" borderId="0" xfId="0" applyBorder="1" applyAlignment="1">
      <alignment horizontal="left"/>
    </xf>
    <xf numFmtId="0" fontId="1" fillId="0" borderId="0" xfId="0" applyFont="1" applyAlignment="1">
      <alignment horizontal="right"/>
    </xf>
    <xf numFmtId="0" fontId="0" fillId="0" borderId="0" xfId="0" applyBorder="1" applyAlignment="1">
      <alignment horizontal="lef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Border="1" applyAlignment="1">
      <alignment horizontal="left"/>
    </xf>
    <xf numFmtId="0" fontId="2" fillId="0" borderId="1" xfId="0" applyFont="1" applyBorder="1" applyAlignment="1">
      <alignment horizontal="center" wrapText="1"/>
    </xf>
    <xf numFmtId="0" fontId="2" fillId="0" borderId="0" xfId="0" applyFont="1" applyBorder="1" applyAlignment="1">
      <alignment horizont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11" fillId="0" borderId="0" xfId="0" applyFont="1" applyAlignment="1">
      <alignment horizontal="center" vertical="center" wrapText="1"/>
    </xf>
    <xf numFmtId="0" fontId="16" fillId="0" borderId="3" xfId="0" applyFont="1" applyFill="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6" fillId="0" borderId="3" xfId="0" applyFont="1" applyBorder="1" applyAlignment="1">
      <alignment horizontal="center" wrapText="1"/>
    </xf>
    <xf numFmtId="0" fontId="14" fillId="2" borderId="0" xfId="0" applyFont="1" applyFill="1" applyBorder="1" applyAlignment="1">
      <alignment horizontal="center" wrapText="1"/>
    </xf>
    <xf numFmtId="0" fontId="14" fillId="2" borderId="2" xfId="0" applyFont="1" applyFill="1" applyBorder="1" applyAlignment="1">
      <alignment horizontal="center" wrapText="1"/>
    </xf>
    <xf numFmtId="0" fontId="14" fillId="0" borderId="0" xfId="0" applyFont="1" applyBorder="1" applyAlignment="1">
      <alignment horizontal="center"/>
    </xf>
    <xf numFmtId="0" fontId="14" fillId="0" borderId="2" xfId="0" applyFont="1" applyBorder="1" applyAlignment="1">
      <alignment horizontal="center"/>
    </xf>
    <xf numFmtId="0" fontId="14" fillId="2" borderId="0" xfId="0" applyFont="1" applyFill="1" applyBorder="1" applyAlignment="1">
      <alignment horizontal="center"/>
    </xf>
    <xf numFmtId="0" fontId="14" fillId="2" borderId="2" xfId="0" applyFont="1" applyFill="1" applyBorder="1" applyAlignment="1">
      <alignment horizontal="center"/>
    </xf>
    <xf numFmtId="0" fontId="14" fillId="0" borderId="0" xfId="0" applyFont="1" applyFill="1" applyBorder="1" applyAlignment="1">
      <alignment horizontal="center"/>
    </xf>
    <xf numFmtId="0" fontId="14" fillId="0" borderId="2" xfId="0" applyFont="1" applyFill="1" applyBorder="1" applyAlignment="1">
      <alignment horizontal="center"/>
    </xf>
    <xf numFmtId="0" fontId="14" fillId="0" borderId="6" xfId="0" applyFont="1" applyFill="1" applyBorder="1" applyAlignment="1">
      <alignment horizontal="center" wrapText="1"/>
    </xf>
    <xf numFmtId="0" fontId="14" fillId="0" borderId="8" xfId="0" applyFont="1" applyFill="1" applyBorder="1" applyAlignment="1">
      <alignment horizontal="center" wrapText="1"/>
    </xf>
    <xf numFmtId="0" fontId="14" fillId="0" borderId="0" xfId="0" applyFont="1" applyFill="1" applyBorder="1" applyAlignment="1">
      <alignment horizontal="center" wrapText="1"/>
    </xf>
    <xf numFmtId="0" fontId="14" fillId="0" borderId="2" xfId="0" applyFont="1" applyFill="1" applyBorder="1" applyAlignment="1">
      <alignment horizontal="center" wrapText="1"/>
    </xf>
    <xf numFmtId="0" fontId="14" fillId="0" borderId="9"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0" xfId="0" applyFont="1" applyFill="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1" fillId="0" borderId="0" xfId="0" applyFont="1" applyFill="1" applyAlignment="1">
      <alignment horizontal="center" vertical="center"/>
    </xf>
    <xf numFmtId="0" fontId="2" fillId="0" borderId="1" xfId="0" applyFont="1" applyBorder="1" applyAlignment="1">
      <alignment horizontal="center"/>
    </xf>
    <xf numFmtId="0" fontId="2" fillId="0" borderId="0"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2" fillId="0" borderId="0" xfId="0" applyFont="1" applyFill="1" applyBorder="1" applyAlignment="1">
      <alignment horizontal="center"/>
    </xf>
    <xf numFmtId="0" fontId="2" fillId="0" borderId="2" xfId="0" applyFont="1" applyFill="1" applyBorder="1" applyAlignment="1">
      <alignment horizontal="center"/>
    </xf>
    <xf numFmtId="0" fontId="2" fillId="0" borderId="1" xfId="0" applyFont="1" applyFill="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0"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Border="1" applyAlignment="1">
      <alignment horizontal="center"/>
    </xf>
    <xf numFmtId="0" fontId="1" fillId="2" borderId="2" xfId="0" applyFont="1" applyFill="1" applyBorder="1" applyAlignment="1">
      <alignment horizontal="center"/>
    </xf>
    <xf numFmtId="0" fontId="1" fillId="0" borderId="0" xfId="0" applyFont="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2" borderId="0" xfId="0" applyFont="1" applyFill="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9" fillId="0" borderId="0" xfId="0" applyFont="1" applyFill="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B1:I21"/>
  <sheetViews>
    <sheetView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236" t="s">
        <v>584</v>
      </c>
      <c r="C1" s="236"/>
      <c r="D1" s="236"/>
      <c r="E1" s="236"/>
      <c r="F1" s="236"/>
      <c r="G1" s="236"/>
      <c r="H1" s="236"/>
      <c r="I1" s="12"/>
    </row>
    <row r="2" spans="2:9" ht="14.65" customHeight="1" x14ac:dyDescent="0.55000000000000004">
      <c r="B2" s="236"/>
      <c r="C2" s="236"/>
      <c r="D2" s="236"/>
      <c r="E2" s="236"/>
      <c r="F2" s="236"/>
      <c r="G2" s="236"/>
      <c r="H2" s="236"/>
      <c r="I2" s="12"/>
    </row>
    <row r="3" spans="2:9" ht="14.65" customHeight="1" x14ac:dyDescent="0.55000000000000004">
      <c r="B3" s="236"/>
      <c r="C3" s="236"/>
      <c r="D3" s="236"/>
      <c r="E3" s="236"/>
      <c r="F3" s="236"/>
      <c r="G3" s="236"/>
      <c r="H3" s="236"/>
      <c r="I3" s="12"/>
    </row>
    <row r="4" spans="2:9" ht="14.65" customHeight="1" x14ac:dyDescent="0.55000000000000004">
      <c r="B4" s="236"/>
      <c r="C4" s="236"/>
      <c r="D4" s="236"/>
      <c r="E4" s="236"/>
      <c r="F4" s="236"/>
      <c r="G4" s="236"/>
      <c r="H4" s="236"/>
      <c r="I4" s="12"/>
    </row>
    <row r="5" spans="2:9" ht="30.6" customHeight="1" x14ac:dyDescent="0.25">
      <c r="C5" s="7"/>
      <c r="D5" s="7"/>
      <c r="E5" s="7"/>
      <c r="F5" s="7"/>
      <c r="G5" s="7"/>
      <c r="H5" s="7"/>
      <c r="I5" s="7"/>
    </row>
    <row r="6" spans="2:9" ht="48" customHeight="1" x14ac:dyDescent="0.25">
      <c r="B6" s="237" t="s">
        <v>755</v>
      </c>
      <c r="C6" s="237"/>
      <c r="D6" s="237"/>
      <c r="E6" s="237"/>
      <c r="F6" s="237"/>
      <c r="G6" s="237"/>
      <c r="H6" s="237"/>
    </row>
    <row r="7" spans="2:9" ht="10.15" customHeight="1" x14ac:dyDescent="0.25">
      <c r="C7" s="7"/>
      <c r="D7" s="7"/>
      <c r="E7" s="7"/>
      <c r="F7" s="7"/>
      <c r="G7" s="7"/>
      <c r="H7" s="7"/>
      <c r="I7" s="7"/>
    </row>
    <row r="8" spans="2:9" ht="31.15" customHeight="1" x14ac:dyDescent="0.25">
      <c r="B8" s="237" t="s">
        <v>751</v>
      </c>
      <c r="C8" s="237"/>
      <c r="D8" s="237"/>
      <c r="E8" s="237"/>
      <c r="F8" s="237"/>
      <c r="G8" s="237"/>
      <c r="H8" s="237"/>
    </row>
    <row r="13" spans="2:9" x14ac:dyDescent="0.25">
      <c r="B13" t="s">
        <v>35</v>
      </c>
      <c r="C13" s="238" t="s">
        <v>756</v>
      </c>
      <c r="D13" s="238"/>
      <c r="E13" s="238"/>
      <c r="F13" s="238"/>
      <c r="G13" s="40"/>
    </row>
    <row r="14" spans="2:9" x14ac:dyDescent="0.25">
      <c r="C14" s="41" t="s">
        <v>590</v>
      </c>
      <c r="D14" s="41"/>
      <c r="E14" s="41"/>
      <c r="F14" s="41"/>
      <c r="G14" s="41"/>
    </row>
    <row r="15" spans="2:9" x14ac:dyDescent="0.25">
      <c r="C15" s="30"/>
      <c r="D15" s="30"/>
      <c r="E15" s="30"/>
      <c r="F15" s="30"/>
      <c r="G15" s="30"/>
    </row>
    <row r="16" spans="2:9" x14ac:dyDescent="0.25">
      <c r="B16" t="s">
        <v>34</v>
      </c>
      <c r="C16" s="238">
        <v>2022</v>
      </c>
      <c r="D16" s="238"/>
      <c r="E16" s="238"/>
      <c r="F16" s="238"/>
      <c r="G16" s="2"/>
    </row>
    <row r="20" spans="2:2" x14ac:dyDescent="0.25">
      <c r="B20" t="s">
        <v>604</v>
      </c>
    </row>
    <row r="21" spans="2:2" x14ac:dyDescent="0.25">
      <c r="B21" s="11" t="s">
        <v>583</v>
      </c>
    </row>
  </sheetData>
  <mergeCells count="5">
    <mergeCell ref="B1:H4"/>
    <mergeCell ref="B6:H6"/>
    <mergeCell ref="B8:H8"/>
    <mergeCell ref="C13:F13"/>
    <mergeCell ref="C16:F16"/>
  </mergeCells>
  <dataValidations count="1">
    <dataValidation type="whole" operator="greaterThan" allowBlank="1" showInputMessage="1" showErrorMessage="1" sqref="C16">
      <formula1>2019</formula1>
    </dataValidation>
  </dataValidations>
  <hyperlinks>
    <hyperlink ref="B21"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A2:AE307"/>
  <sheetViews>
    <sheetView view="pageBreakPreview" topLeftCell="A16" zoomScaleNormal="100" zoomScaleSheetLayoutView="100" zoomScalePageLayoutView="60" workbookViewId="0">
      <selection activeCell="P288" sqref="P28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v>2022</v>
      </c>
      <c r="C8" s="292" t="str">
        <f>$B$8&amp;" Internal Affairs Summary"</f>
        <v>2022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44562</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44926</v>
      </c>
      <c r="C10" s="347" t="str">
        <f>"Internal Affairs: "&amp;$B$8&amp;" Snapshot"</f>
        <v>Internal Affairs: 2022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2022.</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3"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v>1</v>
      </c>
      <c r="G17" s="274"/>
      <c r="H17" s="303">
        <f t="shared" si="1"/>
        <v>0</v>
      </c>
      <c r="I17" s="303"/>
      <c r="J17" s="303">
        <f t="shared" si="2"/>
        <v>0</v>
      </c>
      <c r="K17" s="303"/>
      <c r="L17" s="303">
        <v>1</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2</v>
      </c>
      <c r="G24" s="272"/>
      <c r="H24" s="301">
        <v>1</v>
      </c>
      <c r="I24" s="301"/>
      <c r="J24" s="301">
        <f t="shared" si="2"/>
        <v>0</v>
      </c>
      <c r="K24" s="301"/>
      <c r="L24" s="301">
        <f t="shared" si="3"/>
        <v>0</v>
      </c>
      <c r="M24" s="301"/>
    </row>
    <row r="25" spans="3:16" ht="18.75" x14ac:dyDescent="0.3">
      <c r="C25" s="132"/>
      <c r="D25" s="132"/>
      <c r="E25" s="165" t="s">
        <v>615</v>
      </c>
      <c r="F25" s="308">
        <f>SUM(F16:F24)</f>
        <v>3</v>
      </c>
      <c r="G25" s="309"/>
      <c r="H25" s="310">
        <f t="shared" ref="H25" si="4">SUM(H16:H24)</f>
        <v>1</v>
      </c>
      <c r="I25" s="310"/>
      <c r="J25" s="310">
        <f>SUM(J16:J24)</f>
        <v>0</v>
      </c>
      <c r="K25" s="310"/>
      <c r="L25" s="310">
        <f>SUM(L16:L24)</f>
        <v>1</v>
      </c>
      <c r="M25" s="310"/>
    </row>
    <row r="28" spans="3:16" ht="21" x14ac:dyDescent="0.35">
      <c r="F28" s="293" t="str">
        <f>"Distribution of sources for complaints closed in "&amp;$B$8</f>
        <v>Distribution of sources for complaints closed in 2022</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v>1</v>
      </c>
      <c r="I31" s="298"/>
      <c r="J31" s="297">
        <f>COUNTIFS(PendingComplaintSource, J30, PendingCloseDate,"&gt;="&amp;$B$9,PendingCloseDate,"&lt;="&amp;$B$10) + COUNTIFS(OpenedComplaintSource, J30, OpenedCloseDate,"&gt;="&amp;$B$9,OpenedCloseDate,"&lt;="&amp;$B$10)</f>
        <v>2</v>
      </c>
      <c r="K31" s="299"/>
      <c r="L31" s="184"/>
      <c r="M31" s="184"/>
      <c r="N31" s="184"/>
      <c r="O31" s="184"/>
      <c r="P31" s="184"/>
    </row>
    <row r="32" spans="3:16" ht="18.75" x14ac:dyDescent="0.3">
      <c r="E32" s="228" t="s">
        <v>711</v>
      </c>
      <c r="F32" s="304">
        <f t="shared" ref="F32" si="5">IF(SUM($F31:$J31)=0, "", F31/SUM($F31:$J31))</f>
        <v>0</v>
      </c>
      <c r="G32" s="305"/>
      <c r="H32" s="306">
        <f t="shared" ref="H32" si="6">IF(SUM($F31:$J31)=0, "", H31/SUM($F31:$J31))</f>
        <v>0.33333333333333331</v>
      </c>
      <c r="I32" s="306"/>
      <c r="J32" s="305">
        <f>IF(SUM($F31:$J31)=0, "", J31/SUM($F31:$J31))</f>
        <v>0.66666666666666663</v>
      </c>
      <c r="K32" s="307"/>
    </row>
    <row r="33" spans="1:17" ht="15.75" thickBot="1" x14ac:dyDescent="0.3"/>
    <row r="34" spans="1:17" ht="36.75" customHeight="1" x14ac:dyDescent="0.3">
      <c r="C34" s="268" t="str">
        <f>"Frequency of discipline by type for complaints closed in "&amp;$B$8</f>
        <v>Frequency of discipline by type for complaints closed in 2022</v>
      </c>
      <c r="D34" s="268"/>
      <c r="E34" s="268"/>
      <c r="F34" s="268"/>
      <c r="G34" s="208"/>
      <c r="I34" s="252" t="str">
        <f>$B$8&amp;" Summary"</f>
        <v>2022 Summary</v>
      </c>
      <c r="J34" s="252"/>
      <c r="K34" s="252"/>
      <c r="M34" s="283" t="s">
        <v>625</v>
      </c>
      <c r="N34" s="284"/>
      <c r="O34" s="284"/>
      <c r="P34" s="285"/>
    </row>
    <row r="35" spans="1:17" ht="18.75" customHeight="1" x14ac:dyDescent="0.3">
      <c r="B35" s="125"/>
      <c r="C35" s="125"/>
      <c r="D35" s="125"/>
      <c r="E35" s="207"/>
      <c r="F35" s="162" t="s">
        <v>663</v>
      </c>
      <c r="G35" s="207">
        <f t="shared" ref="G35:G43" si="7">COUNTIFS(PendingDiscipline,$F35,PendingCloseDate,"&gt;="&amp;$B$9,PendingCloseDate,"&lt;="&amp;$B$10) + COUNTIFS(OpenedDiscipline,$F35,OpenedCloseDate,"&gt;="&amp;$B$9,OpenedCloseDate,"&lt;="&amp;$B$10)</f>
        <v>0</v>
      </c>
      <c r="I35" s="277" t="s">
        <v>621</v>
      </c>
      <c r="J35" s="278"/>
      <c r="K35" s="281">
        <f>SUM($B$67:$D$67)</f>
        <v>2</v>
      </c>
      <c r="M35" s="286"/>
      <c r="N35" s="287"/>
      <c r="O35" s="287"/>
      <c r="P35" s="288"/>
    </row>
    <row r="36" spans="1:17" ht="18.75" x14ac:dyDescent="0.3">
      <c r="B36" s="117"/>
      <c r="C36" s="117"/>
      <c r="D36" s="117"/>
      <c r="E36" s="210"/>
      <c r="F36" s="163" t="s">
        <v>664</v>
      </c>
      <c r="G36" s="210">
        <f t="shared" si="7"/>
        <v>2</v>
      </c>
      <c r="I36" s="279"/>
      <c r="J36" s="280"/>
      <c r="K36" s="282"/>
      <c r="M36" s="286"/>
      <c r="N36" s="287"/>
      <c r="O36" s="287"/>
      <c r="P36" s="288"/>
    </row>
    <row r="37" spans="1:17" ht="18.75" customHeight="1" x14ac:dyDescent="0.3">
      <c r="E37" s="209"/>
      <c r="F37" s="164" t="s">
        <v>665</v>
      </c>
      <c r="G37" s="209">
        <f t="shared" si="7"/>
        <v>0</v>
      </c>
      <c r="I37" s="269" t="s">
        <v>643</v>
      </c>
      <c r="J37" s="270"/>
      <c r="K37" s="211">
        <v>2</v>
      </c>
      <c r="M37" s="286"/>
      <c r="N37" s="287"/>
      <c r="O37" s="287"/>
      <c r="P37" s="288"/>
    </row>
    <row r="38" spans="1:17" ht="18.75" x14ac:dyDescent="0.3">
      <c r="B38" s="117"/>
      <c r="C38" s="117"/>
      <c r="D38" s="117"/>
      <c r="E38" s="210"/>
      <c r="F38" s="163" t="s">
        <v>666</v>
      </c>
      <c r="G38" s="210">
        <f t="shared" si="7"/>
        <v>0</v>
      </c>
      <c r="I38" s="271" t="s">
        <v>622</v>
      </c>
      <c r="J38" s="272"/>
      <c r="K38" s="212">
        <v>3</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1</v>
      </c>
      <c r="M39" s="286"/>
      <c r="N39" s="287"/>
      <c r="O39" s="287"/>
      <c r="P39" s="288"/>
    </row>
    <row r="40" spans="1:17" ht="18.75" x14ac:dyDescent="0.3">
      <c r="B40" s="117"/>
      <c r="C40" s="117"/>
      <c r="D40" s="117"/>
      <c r="E40" s="210"/>
      <c r="F40" s="163" t="s">
        <v>668</v>
      </c>
      <c r="G40" s="210">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209"/>
      <c r="F41" s="164" t="s">
        <v>693</v>
      </c>
      <c r="G41" s="209">
        <f t="shared" si="7"/>
        <v>0</v>
      </c>
      <c r="I41" s="273" t="s">
        <v>644</v>
      </c>
      <c r="J41" s="274"/>
      <c r="K41" s="211">
        <f ca="1">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f t="shared" si="7"/>
        <v>0</v>
      </c>
      <c r="I42" s="279" t="str">
        <f>"Total Pending  at end of "&amp;$B$8</f>
        <v>Total Pending  at end of 2022</v>
      </c>
      <c r="J42" s="280"/>
      <c r="K42" s="282">
        <v>0</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v>1</v>
      </c>
      <c r="I44" s="125"/>
      <c r="J44" s="125"/>
      <c r="K44" s="125"/>
      <c r="M44" s="289"/>
      <c r="N44" s="290"/>
      <c r="O44" s="290"/>
      <c r="P44" s="291"/>
    </row>
    <row r="45" spans="1:17" ht="18.75" x14ac:dyDescent="0.3">
      <c r="B45" s="125"/>
      <c r="C45" s="125"/>
      <c r="D45" s="125"/>
      <c r="E45" s="125"/>
      <c r="F45" s="170" t="s">
        <v>615</v>
      </c>
      <c r="G45" s="171">
        <f>SUM(G35:G44)</f>
        <v>3</v>
      </c>
    </row>
    <row r="48" spans="1:17" x14ac:dyDescent="0.25">
      <c r="A48" s="1"/>
      <c r="K48" s="244" t="s">
        <v>33</v>
      </c>
      <c r="L48" s="244"/>
      <c r="M48" s="245" t="str">
        <f>'Start Here'!C$13</f>
        <v xml:space="preserve">Lower Alloways Creek Police </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2022: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v>1</v>
      </c>
      <c r="D58" s="201">
        <f t="shared" si="8"/>
        <v>0</v>
      </c>
      <c r="E58" s="53">
        <v>1</v>
      </c>
      <c r="F58" s="54">
        <v>1</v>
      </c>
      <c r="G58" s="54">
        <f t="shared" ref="E58:G66" si="9">COUNTIFS(OpenedMSO, $A58, OpenedComplaintSource, G$57, OpenedComplaintReceived, "&gt;="&amp;$B$9, OpenedComplaintReceived,"&lt;="&amp;$B$10)</f>
        <v>0</v>
      </c>
      <c r="H58" s="53">
        <v>1</v>
      </c>
      <c r="I58" s="54">
        <v>2</v>
      </c>
      <c r="J58" s="54" t="str">
        <f t="shared" ref="J58:J66" si="10">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f t="shared" si="9"/>
        <v>1</v>
      </c>
      <c r="G59" s="46">
        <f t="shared" si="9"/>
        <v>0</v>
      </c>
      <c r="H59" s="56" t="str">
        <f t="shared" ref="H59:H66" si="11">IF(E59=0,"",(SUMIFS(OpenedNInitial,OpenedMSO,$A59,OpenedComplaintSource,H$57,OpenedComplaintReceived,"&gt;="&amp;$B$9,OpenedComplaintReceived,"&lt;="&amp;$B$10)/E59))</f>
        <v/>
      </c>
      <c r="I59" s="46">
        <f t="shared" ref="I59:I66" si="12">IF(F59=0,"",(SUMIFS(OpenedNInitial,OpenedMSO,$A59,OpenedComplaintSource,I$57,OpenedComplaintReceived,"&gt;="&amp;$B$9,OpenedComplaintReceived,"&lt;="&amp;$B$10)/F59))</f>
        <v>1</v>
      </c>
      <c r="J59" s="46" t="str">
        <f t="shared" si="10"/>
        <v/>
      </c>
      <c r="K59" s="54"/>
      <c r="L59" s="54"/>
      <c r="N59" s="256"/>
      <c r="O59" s="257"/>
      <c r="P59" s="258"/>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1"/>
        <v/>
      </c>
      <c r="I60" s="45" t="str">
        <f t="shared" si="12"/>
        <v/>
      </c>
      <c r="J60" s="45" t="str">
        <f t="shared" si="10"/>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1"/>
        <v/>
      </c>
      <c r="I61" s="46" t="str">
        <f t="shared" si="12"/>
        <v/>
      </c>
      <c r="J61" s="46" t="str">
        <f t="shared" si="10"/>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1"/>
        <v/>
      </c>
      <c r="I62" s="45" t="str">
        <f t="shared" si="12"/>
        <v/>
      </c>
      <c r="J62" s="45" t="str">
        <f t="shared" si="10"/>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1"/>
        <v/>
      </c>
      <c r="I63" s="46" t="str">
        <f t="shared" si="12"/>
        <v/>
      </c>
      <c r="J63" s="46" t="str">
        <f t="shared" si="10"/>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1"/>
        <v/>
      </c>
      <c r="I64" s="45" t="str">
        <f t="shared" si="12"/>
        <v/>
      </c>
      <c r="J64" s="45" t="str">
        <f t="shared" si="10"/>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1"/>
        <v/>
      </c>
      <c r="I65" s="46" t="str">
        <f t="shared" si="12"/>
        <v/>
      </c>
      <c r="J65" s="46" t="str">
        <f t="shared" si="10"/>
        <v/>
      </c>
      <c r="K65" s="54"/>
      <c r="L65" s="54"/>
      <c r="M65" s="54"/>
      <c r="N65" s="256"/>
      <c r="O65" s="257"/>
      <c r="P65" s="258"/>
    </row>
    <row r="66" spans="1:31" ht="15.75" thickBot="1" x14ac:dyDescent="0.3">
      <c r="A66" s="159" t="s">
        <v>657</v>
      </c>
      <c r="B66" s="201">
        <f t="shared" si="8"/>
        <v>0</v>
      </c>
      <c r="C66" s="201">
        <f t="shared" si="8"/>
        <v>1</v>
      </c>
      <c r="D66" s="201">
        <f t="shared" si="8"/>
        <v>0</v>
      </c>
      <c r="E66" s="57">
        <f t="shared" si="9"/>
        <v>1</v>
      </c>
      <c r="F66" s="45">
        <f t="shared" si="9"/>
        <v>0</v>
      </c>
      <c r="G66" s="45">
        <f t="shared" si="9"/>
        <v>0</v>
      </c>
      <c r="H66" s="57">
        <f t="shared" si="11"/>
        <v>1</v>
      </c>
      <c r="I66" s="45" t="str">
        <f t="shared" si="12"/>
        <v/>
      </c>
      <c r="J66" s="45" t="str">
        <f t="shared" si="10"/>
        <v/>
      </c>
      <c r="K66" s="54"/>
      <c r="L66" s="54"/>
      <c r="M66" s="54"/>
      <c r="N66" s="259"/>
      <c r="O66" s="260"/>
      <c r="P66" s="261"/>
    </row>
    <row r="67" spans="1:31" x14ac:dyDescent="0.25">
      <c r="A67" s="161" t="s">
        <v>615</v>
      </c>
      <c r="B67" s="64">
        <f>SUM(B58:B66)</f>
        <v>0</v>
      </c>
      <c r="C67" s="64">
        <f t="shared" ref="C67:D67" si="13">SUM(C58:C66)</f>
        <v>2</v>
      </c>
      <c r="D67" s="64">
        <f t="shared" si="13"/>
        <v>0</v>
      </c>
      <c r="E67" s="60">
        <f>SUM(E58:E66)</f>
        <v>2</v>
      </c>
      <c r="F67" s="64">
        <f>SUM(F58:F66)</f>
        <v>2</v>
      </c>
      <c r="G67" s="64">
        <f>SUM(G58:G66)</f>
        <v>0</v>
      </c>
      <c r="H67" s="60">
        <f>IF(E67=0,"",(SUMIFS(OpenedNInitial,OpenedComplaintSource,H$57,OpenedComplaintReceived,"&gt;="&amp;$B$9,OpenedComplaintReceived,"&lt;="&amp;$B$10)/E67))</f>
        <v>0.5</v>
      </c>
      <c r="I67" s="64">
        <f>IF(F67=0,"",(SUMIFS(OpenedNInitial,OpenedComplaintSource,I$57,OpenedComplaintReceived,"&gt;="&amp;$B$9,OpenedComplaintReceived,"&lt;="&amp;$B$10)/F67))</f>
        <v>0.5</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v>1</v>
      </c>
      <c r="C73" s="201">
        <f t="shared" ref="C73:C81" si="14">IF(B73=0, "", (SUMIFS(PendingLengthOfCase,PendingMSO,$A73,PendingCloseDate,"&gt;="&amp;$B$9,PendingCloseDate,"&lt;="&amp;$B$10) + SUMIFS(OpenedLengthOfCase,OpenedMSO,$A73,OpenedCloseDate,"&gt;="&amp;$B$9,OpenedCloseDate,"&lt;="&amp;$B$10)) / B73)</f>
        <v>0</v>
      </c>
      <c r="D73" s="52">
        <f t="shared" ref="D73:D81" si="15">COUNTIFS(PendingMSO,$A73,PendingCloseDate,"&gt;="&amp;$B$9,PendingCloseDate,"&lt;="&amp;$B$10, PendingAppealPending, "Yes") + COUNTIFS(OpenedMSO,$A73,OpenedCloseDate,"&gt;="&amp;$B$9,OpenedCloseDate,"&lt;="&amp;$B$10, OpenedAppealPending, "Yes")</f>
        <v>0</v>
      </c>
      <c r="E73" s="53">
        <v>0</v>
      </c>
      <c r="F73" s="54">
        <v>1</v>
      </c>
      <c r="G73" s="54">
        <f t="shared" ref="E73:G81" si="16">COUNTIFS(OpenedMSO, $A73, OpenedComplaintSource, G$72, OpenedCloseDate, "&gt;="&amp;$B$9, OpenedCloseDate, "&lt;="&amp;$B$10, OpenedStatus,"Closed")+COUNTIFS(PendingMSO, $A73, PendingComplaintSource,G$72, PendingCloseDate, "&gt;="&amp;$B$9, PendingCloseDate, "&lt;="&amp;$B$10, PendingStatus, "Closed")</f>
        <v>0</v>
      </c>
      <c r="H73" s="62">
        <f t="shared" ref="H73:K81" si="17">COUNTIFS(OpenedMSO, $A73, OpenedCriminalDisposition, H$72, OpenedCloseDate, "&gt;="&amp;$B$9, OpenedCloseDate, "&lt;="&amp;$B$10, OpenedStatus, "Closed")+COUNTIFS(PendingMSO, $A73, PendingCriminalDisposition, H$72, PendingCloseDate, "&gt;="&amp;$B$9, PendingCloseDate, "&lt;="&amp;$B$10, PendingStatus, "Closed")</f>
        <v>0</v>
      </c>
      <c r="I73" s="63">
        <f t="shared" si="17"/>
        <v>0</v>
      </c>
      <c r="J73" s="63">
        <f t="shared" si="17"/>
        <v>0</v>
      </c>
      <c r="K73" s="54">
        <f t="shared" si="17"/>
        <v>0</v>
      </c>
      <c r="L73" s="53">
        <f t="shared" ref="L73:M81" si="18">COUNTIFS(OpenedMSO, $A73, OpenedInternalDisposition, L$72, OpenedCloseDate, "&gt;="&amp;$B$9, OpenedCloseDate, "&lt;="&amp;$B$10, OpenedStatus, "Closed")+COUNTIFS(PendingMSO, $A73, PendingInternalDisposition, K$57, PendingCloseDate, "&gt;="&amp;$B$9, PendingCloseDate, "&lt;="&amp;$B$10, PendingStatus, "Closed")</f>
        <v>0</v>
      </c>
      <c r="M73" s="54">
        <f t="shared" si="18"/>
        <v>0</v>
      </c>
      <c r="N73" s="54">
        <f t="shared" ref="N73:N81" si="19">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0">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v>1</v>
      </c>
      <c r="C74" s="55">
        <f t="shared" ca="1" si="14"/>
        <v>51</v>
      </c>
      <c r="D74" s="55">
        <f t="shared" si="15"/>
        <v>0</v>
      </c>
      <c r="E74" s="56">
        <f t="shared" si="16"/>
        <v>0</v>
      </c>
      <c r="F74" s="46">
        <v>1</v>
      </c>
      <c r="G74" s="46">
        <f t="shared" si="16"/>
        <v>0</v>
      </c>
      <c r="H74" s="56">
        <f t="shared" si="17"/>
        <v>0</v>
      </c>
      <c r="I74" s="46">
        <f t="shared" si="17"/>
        <v>0</v>
      </c>
      <c r="J74" s="46">
        <f t="shared" si="17"/>
        <v>0</v>
      </c>
      <c r="K74" s="47">
        <f t="shared" si="17"/>
        <v>0</v>
      </c>
      <c r="L74" s="56">
        <f t="shared" si="18"/>
        <v>0</v>
      </c>
      <c r="M74" s="46">
        <f t="shared" si="18"/>
        <v>0</v>
      </c>
      <c r="N74" s="46">
        <f t="shared" si="19"/>
        <v>0</v>
      </c>
      <c r="O74" s="46">
        <f t="shared" si="20"/>
        <v>0</v>
      </c>
    </row>
    <row r="75" spans="1:31" x14ac:dyDescent="0.25">
      <c r="A75" s="1" t="s">
        <v>652</v>
      </c>
      <c r="B75" s="57">
        <v>1</v>
      </c>
      <c r="C75" s="201">
        <f t="shared" si="14"/>
        <v>0</v>
      </c>
      <c r="D75" s="201">
        <f t="shared" si="15"/>
        <v>0</v>
      </c>
      <c r="E75" s="57">
        <v>1</v>
      </c>
      <c r="F75" s="45">
        <f t="shared" si="16"/>
        <v>0</v>
      </c>
      <c r="G75" s="45">
        <f t="shared" si="16"/>
        <v>0</v>
      </c>
      <c r="H75" s="57">
        <f t="shared" si="17"/>
        <v>0</v>
      </c>
      <c r="I75" s="45">
        <f t="shared" si="17"/>
        <v>0</v>
      </c>
      <c r="J75" s="45">
        <f t="shared" si="17"/>
        <v>0</v>
      </c>
      <c r="K75" s="78">
        <f t="shared" si="17"/>
        <v>0</v>
      </c>
      <c r="L75" s="57">
        <f t="shared" si="18"/>
        <v>0</v>
      </c>
      <c r="M75" s="45">
        <f t="shared" si="18"/>
        <v>0</v>
      </c>
      <c r="N75" s="45">
        <f t="shared" si="19"/>
        <v>0</v>
      </c>
      <c r="O75" s="45">
        <f t="shared" si="20"/>
        <v>0</v>
      </c>
    </row>
    <row r="76" spans="1:31" x14ac:dyDescent="0.25">
      <c r="A76" s="3" t="s">
        <v>653</v>
      </c>
      <c r="B76" s="56">
        <f t="shared" ref="B76:B81" si="21">COUNTIFS(PendingMSO,$A76,PendingCloseDate,"&gt;="&amp;$B$9,PendingCloseDate,"&lt;="&amp;$B$10) + COUNTIFS(OpenedMSO,$A76,OpenedCloseDate,"&gt;="&amp;$B$9,OpenedCloseDate,"&lt;="&amp;$B$10)</f>
        <v>0</v>
      </c>
      <c r="C76" s="55" t="str">
        <f t="shared" si="14"/>
        <v/>
      </c>
      <c r="D76" s="55">
        <f t="shared" si="15"/>
        <v>0</v>
      </c>
      <c r="E76" s="56">
        <f t="shared" si="16"/>
        <v>0</v>
      </c>
      <c r="F76" s="46">
        <f t="shared" si="16"/>
        <v>0</v>
      </c>
      <c r="G76" s="46">
        <f t="shared" si="16"/>
        <v>0</v>
      </c>
      <c r="H76" s="56">
        <f t="shared" si="17"/>
        <v>0</v>
      </c>
      <c r="I76" s="46">
        <f t="shared" si="17"/>
        <v>0</v>
      </c>
      <c r="J76" s="46">
        <f t="shared" si="17"/>
        <v>0</v>
      </c>
      <c r="K76" s="47">
        <f t="shared" si="17"/>
        <v>0</v>
      </c>
      <c r="L76" s="56">
        <f t="shared" si="18"/>
        <v>0</v>
      </c>
      <c r="M76" s="46">
        <f t="shared" si="18"/>
        <v>0</v>
      </c>
      <c r="N76" s="46">
        <f t="shared" si="19"/>
        <v>0</v>
      </c>
      <c r="O76" s="46">
        <f t="shared" si="20"/>
        <v>0</v>
      </c>
    </row>
    <row r="77" spans="1:31" x14ac:dyDescent="0.25">
      <c r="A77" s="1" t="s">
        <v>654</v>
      </c>
      <c r="B77" s="57">
        <f t="shared" si="21"/>
        <v>0</v>
      </c>
      <c r="C77" s="201" t="str">
        <f t="shared" si="14"/>
        <v/>
      </c>
      <c r="D77" s="201">
        <f t="shared" si="15"/>
        <v>0</v>
      </c>
      <c r="E77" s="57">
        <f t="shared" si="16"/>
        <v>0</v>
      </c>
      <c r="F77" s="45">
        <f t="shared" si="16"/>
        <v>0</v>
      </c>
      <c r="G77" s="45">
        <f t="shared" si="16"/>
        <v>0</v>
      </c>
      <c r="H77" s="57">
        <f t="shared" si="17"/>
        <v>0</v>
      </c>
      <c r="I77" s="45">
        <f t="shared" si="17"/>
        <v>0</v>
      </c>
      <c r="J77" s="45">
        <f t="shared" si="17"/>
        <v>0</v>
      </c>
      <c r="K77" s="78">
        <f t="shared" si="17"/>
        <v>0</v>
      </c>
      <c r="L77" s="57">
        <f t="shared" si="18"/>
        <v>0</v>
      </c>
      <c r="M77" s="45">
        <f t="shared" si="18"/>
        <v>0</v>
      </c>
      <c r="N77" s="45">
        <f t="shared" si="19"/>
        <v>0</v>
      </c>
      <c r="O77" s="45">
        <f t="shared" si="20"/>
        <v>0</v>
      </c>
    </row>
    <row r="78" spans="1:31" x14ac:dyDescent="0.25">
      <c r="A78" s="3" t="s">
        <v>655</v>
      </c>
      <c r="B78" s="56">
        <f t="shared" si="21"/>
        <v>0</v>
      </c>
      <c r="C78" s="55" t="str">
        <f t="shared" si="14"/>
        <v/>
      </c>
      <c r="D78" s="55">
        <f t="shared" si="15"/>
        <v>0</v>
      </c>
      <c r="E78" s="56">
        <f t="shared" si="16"/>
        <v>0</v>
      </c>
      <c r="F78" s="46">
        <f t="shared" si="16"/>
        <v>0</v>
      </c>
      <c r="G78" s="46">
        <f t="shared" si="16"/>
        <v>0</v>
      </c>
      <c r="H78" s="56">
        <f t="shared" si="17"/>
        <v>0</v>
      </c>
      <c r="I78" s="46">
        <f t="shared" si="17"/>
        <v>0</v>
      </c>
      <c r="J78" s="46">
        <f t="shared" si="17"/>
        <v>0</v>
      </c>
      <c r="K78" s="47">
        <f t="shared" si="17"/>
        <v>0</v>
      </c>
      <c r="L78" s="56">
        <f t="shared" si="18"/>
        <v>0</v>
      </c>
      <c r="M78" s="46">
        <f t="shared" si="18"/>
        <v>0</v>
      </c>
      <c r="N78" s="46">
        <f t="shared" si="19"/>
        <v>0</v>
      </c>
      <c r="O78" s="46">
        <f t="shared" si="20"/>
        <v>0</v>
      </c>
    </row>
    <row r="79" spans="1:31" x14ac:dyDescent="0.25">
      <c r="A79" s="1" t="s">
        <v>656</v>
      </c>
      <c r="B79" s="57">
        <f t="shared" si="21"/>
        <v>0</v>
      </c>
      <c r="C79" s="201" t="str">
        <f t="shared" si="14"/>
        <v/>
      </c>
      <c r="D79" s="201">
        <f t="shared" si="15"/>
        <v>0</v>
      </c>
      <c r="E79" s="57">
        <f t="shared" si="16"/>
        <v>0</v>
      </c>
      <c r="F79" s="45">
        <f t="shared" si="16"/>
        <v>0</v>
      </c>
      <c r="G79" s="45">
        <f t="shared" si="16"/>
        <v>0</v>
      </c>
      <c r="H79" s="57">
        <f t="shared" si="17"/>
        <v>0</v>
      </c>
      <c r="I79" s="45">
        <f t="shared" si="17"/>
        <v>0</v>
      </c>
      <c r="J79" s="45">
        <f t="shared" si="17"/>
        <v>0</v>
      </c>
      <c r="K79" s="78">
        <f t="shared" si="17"/>
        <v>0</v>
      </c>
      <c r="L79" s="57">
        <f t="shared" si="18"/>
        <v>0</v>
      </c>
      <c r="M79" s="45">
        <f t="shared" si="18"/>
        <v>0</v>
      </c>
      <c r="N79" s="45">
        <f t="shared" si="19"/>
        <v>0</v>
      </c>
      <c r="O79" s="45">
        <f t="shared" si="20"/>
        <v>0</v>
      </c>
    </row>
    <row r="80" spans="1:31" x14ac:dyDescent="0.25">
      <c r="A80" s="3" t="s">
        <v>5</v>
      </c>
      <c r="B80" s="56">
        <f t="shared" si="21"/>
        <v>0</v>
      </c>
      <c r="C80" s="55" t="str">
        <f t="shared" si="14"/>
        <v/>
      </c>
      <c r="D80" s="55">
        <f t="shared" si="15"/>
        <v>0</v>
      </c>
      <c r="E80" s="56">
        <f t="shared" si="16"/>
        <v>0</v>
      </c>
      <c r="F80" s="46">
        <f t="shared" si="16"/>
        <v>0</v>
      </c>
      <c r="G80" s="46">
        <f t="shared" si="16"/>
        <v>0</v>
      </c>
      <c r="H80" s="56">
        <f t="shared" si="17"/>
        <v>0</v>
      </c>
      <c r="I80" s="46">
        <f t="shared" si="17"/>
        <v>0</v>
      </c>
      <c r="J80" s="46">
        <f t="shared" si="17"/>
        <v>0</v>
      </c>
      <c r="K80" s="47">
        <f t="shared" si="17"/>
        <v>0</v>
      </c>
      <c r="L80" s="56">
        <f t="shared" si="18"/>
        <v>0</v>
      </c>
      <c r="M80" s="46">
        <f t="shared" si="18"/>
        <v>0</v>
      </c>
      <c r="N80" s="46">
        <f t="shared" si="19"/>
        <v>0</v>
      </c>
      <c r="O80" s="46">
        <f t="shared" si="20"/>
        <v>0</v>
      </c>
    </row>
    <row r="81" spans="1:20" x14ac:dyDescent="0.25">
      <c r="A81" s="1" t="s">
        <v>657</v>
      </c>
      <c r="B81" s="57">
        <f t="shared" si="21"/>
        <v>2</v>
      </c>
      <c r="C81" s="201">
        <f t="shared" ca="1" si="14"/>
        <v>158.5</v>
      </c>
      <c r="D81" s="201">
        <f t="shared" si="15"/>
        <v>0</v>
      </c>
      <c r="E81" s="57">
        <f t="shared" si="16"/>
        <v>0</v>
      </c>
      <c r="F81" s="45">
        <f t="shared" si="16"/>
        <v>1</v>
      </c>
      <c r="G81" s="45">
        <f t="shared" si="16"/>
        <v>0</v>
      </c>
      <c r="H81" s="57">
        <f t="shared" si="17"/>
        <v>0</v>
      </c>
      <c r="I81" s="45">
        <f t="shared" si="17"/>
        <v>0</v>
      </c>
      <c r="J81" s="45">
        <f t="shared" si="17"/>
        <v>0</v>
      </c>
      <c r="K81" s="78">
        <f t="shared" si="17"/>
        <v>0</v>
      </c>
      <c r="L81" s="57">
        <f t="shared" si="18"/>
        <v>0</v>
      </c>
      <c r="M81" s="45">
        <f t="shared" si="18"/>
        <v>0</v>
      </c>
      <c r="N81" s="45">
        <f t="shared" si="19"/>
        <v>0</v>
      </c>
      <c r="O81" s="45">
        <f t="shared" si="20"/>
        <v>0</v>
      </c>
    </row>
    <row r="82" spans="1:20" x14ac:dyDescent="0.25">
      <c r="A82" s="44" t="s">
        <v>615</v>
      </c>
      <c r="B82" s="60">
        <f>SUM(B73:B81)</f>
        <v>5</v>
      </c>
      <c r="C82" s="64">
        <f ca="1">IF(B82=0, "", SUM(C73:C81) / B82)</f>
        <v>41.9</v>
      </c>
      <c r="D82" s="64">
        <f t="shared" ref="D82" si="22">SUM(D73:D81)</f>
        <v>0</v>
      </c>
      <c r="E82" s="60">
        <f t="shared" ref="E82:O82" si="23">SUM(E73:E81)</f>
        <v>1</v>
      </c>
      <c r="F82" s="64">
        <f t="shared" si="23"/>
        <v>3</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2022: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t="s">
        <v>762</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v>1</v>
      </c>
      <c r="C92" s="340"/>
      <c r="D92" s="45">
        <f t="shared" ref="D92:L100" si="24">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4"/>
        <v>0</v>
      </c>
      <c r="F92" s="45">
        <f t="shared" si="24"/>
        <v>0</v>
      </c>
      <c r="G92" s="45">
        <f t="shared" si="24"/>
        <v>0</v>
      </c>
      <c r="H92" s="45">
        <f t="shared" si="24"/>
        <v>0</v>
      </c>
      <c r="I92" s="45">
        <f t="shared" si="24"/>
        <v>0</v>
      </c>
      <c r="J92" s="45">
        <f t="shared" si="24"/>
        <v>0</v>
      </c>
      <c r="K92" s="45">
        <f t="shared" si="24"/>
        <v>0</v>
      </c>
      <c r="L92" s="78">
        <v>1</v>
      </c>
      <c r="M92" s="192">
        <f t="shared" ref="M92:M100" si="25">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v>1</v>
      </c>
      <c r="C93" s="336"/>
      <c r="D93" s="46">
        <f t="shared" si="24"/>
        <v>0</v>
      </c>
      <c r="E93" s="46">
        <f t="shared" si="24"/>
        <v>0</v>
      </c>
      <c r="F93" s="46">
        <f t="shared" si="24"/>
        <v>0</v>
      </c>
      <c r="G93" s="46">
        <f t="shared" si="24"/>
        <v>0</v>
      </c>
      <c r="H93" s="46">
        <f t="shared" si="24"/>
        <v>0</v>
      </c>
      <c r="I93" s="46">
        <f t="shared" si="24"/>
        <v>0</v>
      </c>
      <c r="J93" s="46">
        <f t="shared" si="24"/>
        <v>0</v>
      </c>
      <c r="K93" s="46">
        <f t="shared" si="24"/>
        <v>0</v>
      </c>
      <c r="L93" s="47">
        <v>1</v>
      </c>
      <c r="M93" s="196">
        <f t="shared" si="25"/>
        <v>1</v>
      </c>
      <c r="R93" s="51"/>
    </row>
    <row r="94" spans="1:20" ht="15" customHeight="1" x14ac:dyDescent="0.25">
      <c r="A94" s="49" t="s">
        <v>652</v>
      </c>
      <c r="B94" s="337">
        <v>1</v>
      </c>
      <c r="C94" s="330"/>
      <c r="D94" s="45">
        <f t="shared" si="24"/>
        <v>0</v>
      </c>
      <c r="E94" s="45">
        <f t="shared" si="24"/>
        <v>0</v>
      </c>
      <c r="F94" s="45">
        <f t="shared" si="24"/>
        <v>0</v>
      </c>
      <c r="G94" s="45">
        <f t="shared" si="24"/>
        <v>0</v>
      </c>
      <c r="H94" s="45">
        <f t="shared" si="24"/>
        <v>0</v>
      </c>
      <c r="I94" s="45">
        <v>1</v>
      </c>
      <c r="J94" s="45">
        <f t="shared" si="24"/>
        <v>0</v>
      </c>
      <c r="K94" s="45">
        <f t="shared" si="24"/>
        <v>0</v>
      </c>
      <c r="L94" s="78">
        <f t="shared" si="24"/>
        <v>0</v>
      </c>
      <c r="M94" s="192">
        <v>1</v>
      </c>
      <c r="R94" s="50"/>
    </row>
    <row r="95" spans="1:20" ht="15" customHeight="1" x14ac:dyDescent="0.25">
      <c r="A95" s="48" t="s">
        <v>653</v>
      </c>
      <c r="B95" s="335">
        <f t="shared" ref="B95:B100" si="26">COUNTIFS(PendingMSO, $A95, PendingCloseDate, "&gt;="&amp;$B$9, PendingCloseDate, "&lt;="&amp;$B$10, PendingStatus, "Closed")+COUNTIFS(OpenedMSO, $A95, OpenedCloseDate, "&gt;="&amp;$B$9, OpenedCloseDate,"&lt;="&amp;$B$10, OpenedStatus, "Closed")</f>
        <v>0</v>
      </c>
      <c r="C95" s="336"/>
      <c r="D95" s="46">
        <f t="shared" si="24"/>
        <v>0</v>
      </c>
      <c r="E95" s="46">
        <f t="shared" si="24"/>
        <v>0</v>
      </c>
      <c r="F95" s="46">
        <f t="shared" si="24"/>
        <v>0</v>
      </c>
      <c r="G95" s="46">
        <f t="shared" si="24"/>
        <v>0</v>
      </c>
      <c r="H95" s="46">
        <f t="shared" si="24"/>
        <v>0</v>
      </c>
      <c r="I95" s="46">
        <f t="shared" si="24"/>
        <v>0</v>
      </c>
      <c r="J95" s="46">
        <f t="shared" si="24"/>
        <v>0</v>
      </c>
      <c r="K95" s="46">
        <f t="shared" si="24"/>
        <v>0</v>
      </c>
      <c r="L95" s="47">
        <f t="shared" si="24"/>
        <v>0</v>
      </c>
      <c r="M95" s="196">
        <f t="shared" si="25"/>
        <v>0</v>
      </c>
      <c r="R95" s="51"/>
    </row>
    <row r="96" spans="1:20" x14ac:dyDescent="0.25">
      <c r="A96" s="49" t="s">
        <v>654</v>
      </c>
      <c r="B96" s="337">
        <f t="shared" si="26"/>
        <v>0</v>
      </c>
      <c r="C96" s="330"/>
      <c r="D96" s="45">
        <f t="shared" si="24"/>
        <v>0</v>
      </c>
      <c r="E96" s="45">
        <f t="shared" si="24"/>
        <v>0</v>
      </c>
      <c r="F96" s="45">
        <f t="shared" si="24"/>
        <v>0</v>
      </c>
      <c r="G96" s="45">
        <f t="shared" si="24"/>
        <v>0</v>
      </c>
      <c r="H96" s="45">
        <f t="shared" si="24"/>
        <v>0</v>
      </c>
      <c r="I96" s="45">
        <f t="shared" si="24"/>
        <v>0</v>
      </c>
      <c r="J96" s="45">
        <f t="shared" si="24"/>
        <v>0</v>
      </c>
      <c r="K96" s="45">
        <f t="shared" si="24"/>
        <v>0</v>
      </c>
      <c r="L96" s="78">
        <f t="shared" si="24"/>
        <v>0</v>
      </c>
      <c r="M96" s="192">
        <f t="shared" si="25"/>
        <v>0</v>
      </c>
    </row>
    <row r="97" spans="1:19" x14ac:dyDescent="0.25">
      <c r="A97" s="48" t="s">
        <v>655</v>
      </c>
      <c r="B97" s="335">
        <f t="shared" si="26"/>
        <v>0</v>
      </c>
      <c r="C97" s="336"/>
      <c r="D97" s="46">
        <f t="shared" si="24"/>
        <v>0</v>
      </c>
      <c r="E97" s="46">
        <f t="shared" si="24"/>
        <v>0</v>
      </c>
      <c r="F97" s="46">
        <f t="shared" si="24"/>
        <v>0</v>
      </c>
      <c r="G97" s="46">
        <f t="shared" si="24"/>
        <v>0</v>
      </c>
      <c r="H97" s="46">
        <f t="shared" si="24"/>
        <v>0</v>
      </c>
      <c r="I97" s="46">
        <f t="shared" si="24"/>
        <v>0</v>
      </c>
      <c r="J97" s="46">
        <f t="shared" si="24"/>
        <v>0</v>
      </c>
      <c r="K97" s="46">
        <f t="shared" si="24"/>
        <v>0</v>
      </c>
      <c r="L97" s="47">
        <f t="shared" si="24"/>
        <v>0</v>
      </c>
      <c r="M97" s="196">
        <f t="shared" si="25"/>
        <v>0</v>
      </c>
    </row>
    <row r="98" spans="1:19" x14ac:dyDescent="0.25">
      <c r="A98" s="49" t="s">
        <v>656</v>
      </c>
      <c r="B98" s="337">
        <f t="shared" si="26"/>
        <v>0</v>
      </c>
      <c r="C98" s="330"/>
      <c r="D98" s="45">
        <f t="shared" si="24"/>
        <v>0</v>
      </c>
      <c r="E98" s="45">
        <f t="shared" si="24"/>
        <v>0</v>
      </c>
      <c r="F98" s="45">
        <f t="shared" si="24"/>
        <v>0</v>
      </c>
      <c r="G98" s="45">
        <f t="shared" si="24"/>
        <v>0</v>
      </c>
      <c r="H98" s="45">
        <f t="shared" si="24"/>
        <v>0</v>
      </c>
      <c r="I98" s="45">
        <f t="shared" si="24"/>
        <v>0</v>
      </c>
      <c r="J98" s="45">
        <f t="shared" si="24"/>
        <v>0</v>
      </c>
      <c r="K98" s="45">
        <f t="shared" si="24"/>
        <v>0</v>
      </c>
      <c r="L98" s="78">
        <f t="shared" si="24"/>
        <v>0</v>
      </c>
      <c r="M98" s="192">
        <f t="shared" si="25"/>
        <v>0</v>
      </c>
    </row>
    <row r="99" spans="1:19" ht="14.45" customHeight="1" x14ac:dyDescent="0.25">
      <c r="A99" s="48" t="s">
        <v>5</v>
      </c>
      <c r="B99" s="335">
        <f t="shared" si="26"/>
        <v>0</v>
      </c>
      <c r="C99" s="336"/>
      <c r="D99" s="46">
        <f t="shared" si="24"/>
        <v>0</v>
      </c>
      <c r="E99" s="46">
        <f t="shared" si="24"/>
        <v>0</v>
      </c>
      <c r="F99" s="46">
        <f t="shared" si="24"/>
        <v>0</v>
      </c>
      <c r="G99" s="46">
        <f t="shared" si="24"/>
        <v>0</v>
      </c>
      <c r="H99" s="46">
        <f t="shared" si="24"/>
        <v>0</v>
      </c>
      <c r="I99" s="46">
        <f t="shared" si="24"/>
        <v>0</v>
      </c>
      <c r="J99" s="46">
        <f t="shared" si="24"/>
        <v>0</v>
      </c>
      <c r="K99" s="46">
        <f t="shared" si="24"/>
        <v>0</v>
      </c>
      <c r="L99" s="47">
        <f t="shared" si="24"/>
        <v>0</v>
      </c>
      <c r="M99" s="196">
        <f t="shared" si="25"/>
        <v>0</v>
      </c>
    </row>
    <row r="100" spans="1:19" x14ac:dyDescent="0.25">
      <c r="A100" s="59" t="s">
        <v>657</v>
      </c>
      <c r="B100" s="343">
        <f t="shared" si="26"/>
        <v>1</v>
      </c>
      <c r="C100" s="344"/>
      <c r="D100" s="190">
        <f t="shared" si="24"/>
        <v>0</v>
      </c>
      <c r="E100" s="190">
        <f t="shared" si="24"/>
        <v>0</v>
      </c>
      <c r="F100" s="190">
        <f t="shared" si="24"/>
        <v>0</v>
      </c>
      <c r="G100" s="190">
        <f t="shared" si="24"/>
        <v>0</v>
      </c>
      <c r="H100" s="190">
        <f t="shared" si="24"/>
        <v>0</v>
      </c>
      <c r="I100" s="190">
        <f t="shared" si="24"/>
        <v>0</v>
      </c>
      <c r="J100" s="190">
        <f t="shared" si="24"/>
        <v>0</v>
      </c>
      <c r="K100" s="190">
        <f t="shared" si="24"/>
        <v>0</v>
      </c>
      <c r="L100" s="58">
        <f t="shared" si="24"/>
        <v>2</v>
      </c>
      <c r="M100" s="200">
        <f t="shared" si="25"/>
        <v>0</v>
      </c>
    </row>
    <row r="101" spans="1:19" x14ac:dyDescent="0.25">
      <c r="A101" s="48" t="s">
        <v>615</v>
      </c>
      <c r="B101" s="345">
        <f>SUM(B92:C100)</f>
        <v>4</v>
      </c>
      <c r="C101" s="345"/>
      <c r="D101" s="60">
        <f>SUM(D92:D100)</f>
        <v>0</v>
      </c>
      <c r="E101" s="64">
        <f t="shared" ref="E101:L101" si="27">SUM(E92:E100)</f>
        <v>0</v>
      </c>
      <c r="F101" s="64">
        <f t="shared" si="27"/>
        <v>0</v>
      </c>
      <c r="G101" s="64">
        <f t="shared" si="27"/>
        <v>0</v>
      </c>
      <c r="H101" s="64">
        <f t="shared" si="27"/>
        <v>0</v>
      </c>
      <c r="I101" s="64">
        <f t="shared" si="27"/>
        <v>1</v>
      </c>
      <c r="J101" s="64">
        <f t="shared" si="27"/>
        <v>0</v>
      </c>
      <c r="K101" s="64">
        <f t="shared" si="27"/>
        <v>0</v>
      </c>
      <c r="L101" s="64">
        <f t="shared" si="27"/>
        <v>4</v>
      </c>
      <c r="M101" s="60">
        <f>SUM(M92:N100)</f>
        <v>2</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v>1</v>
      </c>
      <c r="C109" s="201">
        <v>1</v>
      </c>
      <c r="D109" s="201">
        <f t="shared" ref="B109:D117" si="28">COUNTIFS(OpenedMSSO, $A109, OpenedComplaintSource, D$108, OpenedInternalDisposition, "Sustained", OpenedCloseDate, "&gt;="&amp;$B$9, OpenedCloseDate, "&lt;="&amp;$B$10) + COUNTIFS(PendingMSSO, $A109, PendingComplaintSource, D$108, PendingInternalDisposition, "Sustained", PendingCloseDate, "&gt;="&amp;$B$9, PendingCloseDate, "&lt;="&amp;$B$10)</f>
        <v>0</v>
      </c>
      <c r="E109" s="57">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0</v>
      </c>
      <c r="F109" s="45">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0</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v>1</v>
      </c>
      <c r="L109" s="89">
        <v>1</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ref="K110:K117" si="33">IF(B93-M93 = 0, "", (SUMIFS(PendingLengthOfCase, PendingMSO,$A110, PendingInternalDisposition, "Sustained", PendingCloseDate, "&gt;="&amp;$B$9, PendingCloseDate, "&lt;="&amp;$B$10) + SUMIFS(OpenedLengthOfCase, OpenedMSO,$A110, OpenedInternalDisposition, "Sustained", OpenedCloseDate, "&gt;="&amp;$B$9, OpenedCloseDate, "&lt;="&amp;$B$10)) / ($B93-$M93))</f>
        <v/>
      </c>
      <c r="L110" s="55">
        <f t="shared" ref="L110:L117" ca="1" si="34">IF($M93 = 0, "", (SUMIFS(PendingLengthOfCase, PendingMSO,$A110, PendingInternalDisposition, "&lt;&gt;Sustained", PendingCloseDate, "&gt;="&amp;$B$9, PendingCloseDate, "&lt;="&amp;$B$10) + SUMIFS(OpenedLengthOfCase, OpenedMSO,$A110, OpenedInternalDisposition, "&lt;&gt;Sustained", OpenedCloseDate, "&gt;="&amp;$B$9, OpenedCloseDate, "&lt;="&amp;$B$10)) / $M93)</f>
        <v>51</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f t="shared" si="34"/>
        <v>0</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1</v>
      </c>
      <c r="C117" s="201">
        <f t="shared" si="28"/>
        <v>1</v>
      </c>
      <c r="D117" s="201">
        <f t="shared" si="28"/>
        <v>0</v>
      </c>
      <c r="E117" s="88">
        <f t="shared" si="29"/>
        <v>1</v>
      </c>
      <c r="F117" s="190">
        <f t="shared" si="30"/>
        <v>1</v>
      </c>
      <c r="G117" s="190" t="str">
        <f t="shared" si="31"/>
        <v/>
      </c>
      <c r="H117" s="57">
        <f t="shared" si="32"/>
        <v>0</v>
      </c>
      <c r="I117" s="201">
        <f t="shared" si="32"/>
        <v>0</v>
      </c>
      <c r="J117" s="201">
        <f t="shared" si="32"/>
        <v>0</v>
      </c>
      <c r="K117" s="57">
        <f t="shared" ca="1" si="33"/>
        <v>317</v>
      </c>
      <c r="L117" s="201" t="str">
        <f t="shared" si="34"/>
        <v/>
      </c>
    </row>
    <row r="118" spans="1:17" x14ac:dyDescent="0.25">
      <c r="A118" s="110" t="s">
        <v>615</v>
      </c>
      <c r="B118" s="64">
        <f>SUM(B109:B117)</f>
        <v>2</v>
      </c>
      <c r="C118" s="64">
        <f t="shared" ref="C118:D118" si="35">SUM(C109:C117)</f>
        <v>2</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0.5</v>
      </c>
      <c r="F118" s="46">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0.5</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158.5</v>
      </c>
      <c r="L118" s="91">
        <f ca="1">IF(M101=0, "", (SUMIFS(PendingLengthOfCase, PendingInternalDisposition, "&lt;&gt;Sustained", PendingCloseDate, "&gt;="&amp;$B$9, PendingCloseDate, "&lt;="&amp;$B$10) + SUMIFS(OpenedLengthOfCase, OpenedInternalDisposition, "&lt;&gt;Sustained", OpenedCloseDate, "&gt;="&amp;$B$9, OpenedCloseDate, "&lt;="&amp;$B$10)) / M101)</f>
        <v>25.5</v>
      </c>
    </row>
    <row r="120" spans="1:17" x14ac:dyDescent="0.25">
      <c r="A120" s="341" t="str">
        <f>$B$8&amp;": Cases Opened and Closed, Alleged Other Rule Violations"</f>
        <v>2022: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t="s">
        <v>763</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0"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0"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v>0</v>
      </c>
      <c r="E141" s="55">
        <v>1</v>
      </c>
      <c r="F141" s="118">
        <f t="shared" si="39"/>
        <v>0</v>
      </c>
      <c r="G141" s="55">
        <f t="shared" si="40"/>
        <v>1</v>
      </c>
      <c r="H141" s="55">
        <f t="shared" si="41"/>
        <v>1</v>
      </c>
      <c r="I141" s="118">
        <f t="shared" si="42"/>
        <v>0</v>
      </c>
      <c r="J141" s="117">
        <f t="shared" si="43"/>
        <v>1</v>
      </c>
      <c r="K141" s="117">
        <f t="shared" si="44"/>
        <v>1</v>
      </c>
      <c r="L141" s="117" t="str">
        <f t="shared" si="45"/>
        <v/>
      </c>
    </row>
    <row r="142" spans="1:23" x14ac:dyDescent="0.25">
      <c r="A142" s="5"/>
      <c r="B142" s="5"/>
      <c r="C142" s="5"/>
      <c r="D142" s="120">
        <f t="shared" ref="D142" si="46">SUM(D126:D141)</f>
        <v>0</v>
      </c>
      <c r="E142" s="119">
        <f>SUM(E126:E141)</f>
        <v>1</v>
      </c>
      <c r="F142" s="119">
        <f>SUM(F126:F141)</f>
        <v>0</v>
      </c>
      <c r="G142" s="120">
        <f t="shared" ref="G142:H142" si="47">SUM(G126:G141)</f>
        <v>1</v>
      </c>
      <c r="H142" s="119">
        <f t="shared" si="47"/>
        <v>1</v>
      </c>
      <c r="I142" s="119">
        <f>SUM(I126:I141)</f>
        <v>0</v>
      </c>
      <c r="J142" s="120">
        <f>IF(G142=0,"",(SUMIFS(OpenedNInitial,OpenedComplaintSource,H$57,OpenedComplaintReceived,"&gt;="&amp;$B$9,OpenedComplaintReceived,"&lt;="&amp;$B$10)/G142))</f>
        <v>1</v>
      </c>
      <c r="K142" s="119">
        <f>IF(H142=0,"",(SUMIFS(OpenedNInitial,OpenedComplaintSource,I$57,OpenedComplaintReceived,"&gt;="&amp;$B$9,OpenedComplaintReceived,"&lt;="&amp;$B$10)/H142))</f>
        <v>1</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1"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v>2</v>
      </c>
      <c r="E162" s="117">
        <f t="shared" ca="1" si="49"/>
        <v>120</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2</v>
      </c>
      <c r="E163" s="119">
        <f t="shared" ref="E163:Q163" ca="1" si="62">SUM(E147:E162)</f>
        <v>120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2022: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t="s">
        <v>761</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v>1</v>
      </c>
      <c r="E186" s="144">
        <v>1</v>
      </c>
      <c r="F186" s="146">
        <f t="shared" si="63"/>
        <v>0</v>
      </c>
      <c r="G186" s="144">
        <f t="shared" si="64"/>
        <v>1</v>
      </c>
      <c r="H186" s="144">
        <f t="shared" si="65"/>
        <v>0</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1</v>
      </c>
      <c r="E187" s="119">
        <f t="shared" ref="E187:F187" si="68">SUM(E171:E186)</f>
        <v>1</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19">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1</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7"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v>1</v>
      </c>
      <c r="E208" s="219">
        <f t="shared" si="71"/>
        <v>0</v>
      </c>
      <c r="F208" s="199">
        <f t="shared" si="73"/>
        <v>0</v>
      </c>
      <c r="G208" s="199" t="str">
        <f t="shared" si="72"/>
        <v/>
      </c>
      <c r="H208" s="178"/>
      <c r="Q208" s="178"/>
    </row>
    <row r="209" spans="1:17" x14ac:dyDescent="0.25">
      <c r="A209" s="125"/>
      <c r="B209" s="125"/>
      <c r="C209" s="126"/>
      <c r="D209" s="222">
        <f>SUM(D193:D208)</f>
        <v>1</v>
      </c>
      <c r="E209" s="223">
        <f>SUM(E193:E208)</f>
        <v>0</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317</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2022: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t="s">
        <v>761</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v>0</v>
      </c>
      <c r="D222" s="201">
        <v>0</v>
      </c>
      <c r="E222" s="78">
        <f t="shared" si="74"/>
        <v>0</v>
      </c>
      <c r="F222" s="45">
        <v>0</v>
      </c>
      <c r="G222" s="4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v>0</v>
      </c>
      <c r="E223" s="119">
        <f t="shared" si="77"/>
        <v>0</v>
      </c>
      <c r="F223" s="120">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2022: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2022: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t="s">
        <v>761</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v>2</v>
      </c>
      <c r="F277">
        <f t="shared" si="93"/>
        <v>0</v>
      </c>
      <c r="G277">
        <f t="shared" si="93"/>
        <v>0</v>
      </c>
      <c r="H277">
        <f t="shared" si="93"/>
        <v>0</v>
      </c>
      <c r="I277">
        <f t="shared" si="93"/>
        <v>0</v>
      </c>
      <c r="J277">
        <f t="shared" si="93"/>
        <v>0</v>
      </c>
      <c r="K277">
        <f t="shared" si="93"/>
        <v>0</v>
      </c>
      <c r="L277" s="114">
        <f t="shared" si="93"/>
        <v>0</v>
      </c>
      <c r="M277" s="135">
        <f t="shared" si="94"/>
        <v>2</v>
      </c>
    </row>
    <row r="278" spans="1:13" x14ac:dyDescent="0.25">
      <c r="A278" s="44" t="s">
        <v>697</v>
      </c>
      <c r="B278" s="132"/>
      <c r="C278" s="136"/>
      <c r="D278" s="132">
        <f>SUM(D269:D277)</f>
        <v>0</v>
      </c>
      <c r="E278" s="132">
        <f t="shared" ref="E278:L278" si="95">SUM(E269:E277)</f>
        <v>2</v>
      </c>
      <c r="F278" s="132">
        <f t="shared" si="95"/>
        <v>0</v>
      </c>
      <c r="G278" s="132">
        <f t="shared" si="95"/>
        <v>0</v>
      </c>
      <c r="H278" s="132">
        <f t="shared" si="95"/>
        <v>0</v>
      </c>
      <c r="I278" s="132">
        <f t="shared" si="95"/>
        <v>0</v>
      </c>
      <c r="J278" s="132">
        <f t="shared" si="95"/>
        <v>0</v>
      </c>
      <c r="K278" s="132">
        <f t="shared" si="95"/>
        <v>0</v>
      </c>
      <c r="L278" s="136">
        <f t="shared" si="95"/>
        <v>0</v>
      </c>
      <c r="M278" s="140">
        <f t="shared" si="94"/>
        <v>2</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5"/>
  <sheetViews>
    <sheetView workbookViewId="0">
      <selection activeCell="N11" sqref="N11"/>
    </sheetView>
  </sheetViews>
  <sheetFormatPr defaultRowHeight="15" x14ac:dyDescent="0.25"/>
  <sheetData>
    <row r="2" spans="2:11" ht="21" x14ac:dyDescent="0.25">
      <c r="B2" s="240" t="s">
        <v>750</v>
      </c>
      <c r="C2" s="240"/>
      <c r="D2" s="240"/>
      <c r="E2" s="240"/>
      <c r="F2" s="240"/>
      <c r="G2" s="240"/>
      <c r="H2" s="240"/>
      <c r="I2" s="240"/>
      <c r="J2" s="240"/>
      <c r="K2" s="240"/>
    </row>
    <row r="4" spans="2:11" x14ac:dyDescent="0.25">
      <c r="B4" s="239" t="s">
        <v>749</v>
      </c>
      <c r="C4" s="239"/>
      <c r="D4" s="239"/>
      <c r="E4" s="239"/>
      <c r="F4" s="239"/>
      <c r="G4" s="239"/>
      <c r="H4" s="239"/>
      <c r="I4" s="239"/>
      <c r="J4" s="239"/>
      <c r="K4" s="239"/>
    </row>
    <row r="5" spans="2:11" x14ac:dyDescent="0.25">
      <c r="B5" s="239"/>
      <c r="C5" s="239"/>
      <c r="D5" s="239"/>
      <c r="E5" s="239"/>
      <c r="F5" s="239"/>
      <c r="G5" s="239"/>
      <c r="H5" s="239"/>
      <c r="I5" s="239"/>
      <c r="J5" s="239"/>
      <c r="K5" s="239"/>
    </row>
    <row r="6" spans="2:11" x14ac:dyDescent="0.25">
      <c r="B6" s="239"/>
      <c r="C6" s="239"/>
      <c r="D6" s="239"/>
      <c r="E6" s="239"/>
      <c r="F6" s="239"/>
      <c r="G6" s="239"/>
      <c r="H6" s="239"/>
      <c r="I6" s="239"/>
      <c r="J6" s="239"/>
      <c r="K6" s="239"/>
    </row>
    <row r="7" spans="2:11" x14ac:dyDescent="0.25">
      <c r="B7" s="239"/>
      <c r="C7" s="239"/>
      <c r="D7" s="239"/>
      <c r="E7" s="239"/>
      <c r="F7" s="239"/>
      <c r="G7" s="239"/>
      <c r="H7" s="239"/>
      <c r="I7" s="239"/>
      <c r="J7" s="239"/>
      <c r="K7" s="239"/>
    </row>
    <row r="8" spans="2:11" x14ac:dyDescent="0.25">
      <c r="B8" s="239"/>
      <c r="C8" s="239"/>
      <c r="D8" s="239"/>
      <c r="E8" s="239"/>
      <c r="F8" s="239"/>
      <c r="G8" s="239"/>
      <c r="H8" s="239"/>
      <c r="I8" s="239"/>
      <c r="J8" s="239"/>
      <c r="K8" s="239"/>
    </row>
    <row r="9" spans="2:11" x14ac:dyDescent="0.25">
      <c r="B9" s="239"/>
      <c r="C9" s="239"/>
      <c r="D9" s="239"/>
      <c r="E9" s="239"/>
      <c r="F9" s="239"/>
      <c r="G9" s="239"/>
      <c r="H9" s="239"/>
      <c r="I9" s="239"/>
      <c r="J9" s="239"/>
      <c r="K9" s="239"/>
    </row>
    <row r="10" spans="2:11" x14ac:dyDescent="0.25">
      <c r="B10" s="239"/>
      <c r="C10" s="239"/>
      <c r="D10" s="239"/>
      <c r="E10" s="239"/>
      <c r="F10" s="239"/>
      <c r="G10" s="239"/>
      <c r="H10" s="239"/>
      <c r="I10" s="239"/>
      <c r="J10" s="239"/>
      <c r="K10" s="239"/>
    </row>
    <row r="11" spans="2:11" x14ac:dyDescent="0.25">
      <c r="B11" s="239"/>
      <c r="C11" s="239"/>
      <c r="D11" s="239"/>
      <c r="E11" s="239"/>
      <c r="F11" s="239"/>
      <c r="G11" s="239"/>
      <c r="H11" s="239"/>
      <c r="I11" s="239"/>
      <c r="J11" s="239"/>
      <c r="K11" s="239"/>
    </row>
    <row r="12" spans="2:11" x14ac:dyDescent="0.25">
      <c r="B12" s="239"/>
      <c r="C12" s="239"/>
      <c r="D12" s="239"/>
      <c r="E12" s="239"/>
      <c r="F12" s="239"/>
      <c r="G12" s="239"/>
      <c r="H12" s="239"/>
      <c r="I12" s="239"/>
      <c r="J12" s="239"/>
      <c r="K12" s="239"/>
    </row>
    <row r="13" spans="2:11" x14ac:dyDescent="0.25">
      <c r="B13" s="239"/>
      <c r="C13" s="239"/>
      <c r="D13" s="239"/>
      <c r="E13" s="239"/>
      <c r="F13" s="239"/>
      <c r="G13" s="239"/>
      <c r="H13" s="239"/>
      <c r="I13" s="239"/>
      <c r="J13" s="239"/>
      <c r="K13" s="239"/>
    </row>
    <row r="14" spans="2:11" x14ac:dyDescent="0.25">
      <c r="B14" s="239"/>
      <c r="C14" s="239"/>
      <c r="D14" s="239"/>
      <c r="E14" s="239"/>
      <c r="F14" s="239"/>
      <c r="G14" s="239"/>
      <c r="H14" s="239"/>
      <c r="I14" s="239"/>
      <c r="J14" s="239"/>
      <c r="K14" s="239"/>
    </row>
    <row r="15" spans="2:11" x14ac:dyDescent="0.25">
      <c r="B15" s="239"/>
      <c r="C15" s="239"/>
      <c r="D15" s="239"/>
      <c r="E15" s="239"/>
      <c r="F15" s="239"/>
      <c r="G15" s="239"/>
      <c r="H15" s="239"/>
      <c r="I15" s="239"/>
      <c r="J15" s="239"/>
      <c r="K15" s="239"/>
    </row>
    <row r="16" spans="2:11" x14ac:dyDescent="0.25">
      <c r="B16" s="239"/>
      <c r="C16" s="239"/>
      <c r="D16" s="239"/>
      <c r="E16" s="239"/>
      <c r="F16" s="239"/>
      <c r="G16" s="239"/>
      <c r="H16" s="239"/>
      <c r="I16" s="239"/>
      <c r="J16" s="239"/>
      <c r="K16" s="239"/>
    </row>
    <row r="17" spans="2:11" x14ac:dyDescent="0.25">
      <c r="B17" s="239"/>
      <c r="C17" s="239"/>
      <c r="D17" s="239"/>
      <c r="E17" s="239"/>
      <c r="F17" s="239"/>
      <c r="G17" s="239"/>
      <c r="H17" s="239"/>
      <c r="I17" s="239"/>
      <c r="J17" s="239"/>
      <c r="K17" s="239"/>
    </row>
    <row r="18" spans="2:11" x14ac:dyDescent="0.25">
      <c r="B18" s="239"/>
      <c r="C18" s="239"/>
      <c r="D18" s="239"/>
      <c r="E18" s="239"/>
      <c r="F18" s="239"/>
      <c r="G18" s="239"/>
      <c r="H18" s="239"/>
      <c r="I18" s="239"/>
      <c r="J18" s="239"/>
      <c r="K18" s="239"/>
    </row>
    <row r="19" spans="2:11" x14ac:dyDescent="0.25">
      <c r="B19" s="239"/>
      <c r="C19" s="239"/>
      <c r="D19" s="239"/>
      <c r="E19" s="239"/>
      <c r="F19" s="239"/>
      <c r="G19" s="239"/>
      <c r="H19" s="239"/>
      <c r="I19" s="239"/>
      <c r="J19" s="239"/>
      <c r="K19" s="239"/>
    </row>
    <row r="20" spans="2:11" x14ac:dyDescent="0.25">
      <c r="B20" s="239"/>
      <c r="C20" s="239"/>
      <c r="D20" s="239"/>
      <c r="E20" s="239"/>
      <c r="F20" s="239"/>
      <c r="G20" s="239"/>
      <c r="H20" s="239"/>
      <c r="I20" s="239"/>
      <c r="J20" s="239"/>
      <c r="K20" s="239"/>
    </row>
    <row r="21" spans="2:11" x14ac:dyDescent="0.25">
      <c r="B21" s="239"/>
      <c r="C21" s="239"/>
      <c r="D21" s="239"/>
      <c r="E21" s="239"/>
      <c r="F21" s="239"/>
      <c r="G21" s="239"/>
      <c r="H21" s="239"/>
      <c r="I21" s="239"/>
      <c r="J21" s="239"/>
      <c r="K21" s="239"/>
    </row>
    <row r="22" spans="2:11" x14ac:dyDescent="0.25">
      <c r="B22" s="239"/>
      <c r="C22" s="239"/>
      <c r="D22" s="239"/>
      <c r="E22" s="239"/>
      <c r="F22" s="239"/>
      <c r="G22" s="239"/>
      <c r="H22" s="239"/>
      <c r="I22" s="239"/>
      <c r="J22" s="239"/>
      <c r="K22" s="239"/>
    </row>
    <row r="23" spans="2:11" x14ac:dyDescent="0.25">
      <c r="B23" s="239"/>
      <c r="C23" s="239"/>
      <c r="D23" s="239"/>
      <c r="E23" s="239"/>
      <c r="F23" s="239"/>
      <c r="G23" s="239"/>
      <c r="H23" s="239"/>
      <c r="I23" s="239"/>
      <c r="J23" s="239"/>
      <c r="K23" s="239"/>
    </row>
    <row r="24" spans="2:11" x14ac:dyDescent="0.25">
      <c r="B24" s="239"/>
      <c r="C24" s="239"/>
      <c r="D24" s="239"/>
      <c r="E24" s="239"/>
      <c r="F24" s="239"/>
      <c r="G24" s="239"/>
      <c r="H24" s="239"/>
      <c r="I24" s="239"/>
      <c r="J24" s="239"/>
      <c r="K24" s="239"/>
    </row>
    <row r="25" spans="2:11" x14ac:dyDescent="0.25">
      <c r="B25" s="239"/>
      <c r="C25" s="239"/>
      <c r="D25" s="239"/>
      <c r="E25" s="239"/>
      <c r="F25" s="239"/>
      <c r="G25" s="239"/>
      <c r="H25" s="239"/>
      <c r="I25" s="239"/>
      <c r="J25" s="239"/>
      <c r="K25" s="239"/>
    </row>
    <row r="26" spans="2:11" x14ac:dyDescent="0.25">
      <c r="B26" s="239"/>
      <c r="C26" s="239"/>
      <c r="D26" s="239"/>
      <c r="E26" s="239"/>
      <c r="F26" s="239"/>
      <c r="G26" s="239"/>
      <c r="H26" s="239"/>
      <c r="I26" s="239"/>
      <c r="J26" s="239"/>
      <c r="K26" s="239"/>
    </row>
    <row r="27" spans="2:11" x14ac:dyDescent="0.25">
      <c r="B27" s="239"/>
      <c r="C27" s="239"/>
      <c r="D27" s="239"/>
      <c r="E27" s="239"/>
      <c r="F27" s="239"/>
      <c r="G27" s="239"/>
      <c r="H27" s="239"/>
      <c r="I27" s="239"/>
      <c r="J27" s="239"/>
      <c r="K27" s="239"/>
    </row>
    <row r="28" spans="2:11" x14ac:dyDescent="0.25">
      <c r="B28" s="239"/>
      <c r="C28" s="239"/>
      <c r="D28" s="239"/>
      <c r="E28" s="239"/>
      <c r="F28" s="239"/>
      <c r="G28" s="239"/>
      <c r="H28" s="239"/>
      <c r="I28" s="239"/>
      <c r="J28" s="239"/>
      <c r="K28" s="239"/>
    </row>
    <row r="29" spans="2:11" x14ac:dyDescent="0.25">
      <c r="B29" s="239"/>
      <c r="C29" s="239"/>
      <c r="D29" s="239"/>
      <c r="E29" s="239"/>
      <c r="F29" s="239"/>
      <c r="G29" s="239"/>
      <c r="H29" s="239"/>
      <c r="I29" s="239"/>
      <c r="J29" s="239"/>
      <c r="K29" s="239"/>
    </row>
    <row r="30" spans="2:11" x14ac:dyDescent="0.25">
      <c r="B30" s="239"/>
      <c r="C30" s="239"/>
      <c r="D30" s="239"/>
      <c r="E30" s="239"/>
      <c r="F30" s="239"/>
      <c r="G30" s="239"/>
      <c r="H30" s="239"/>
      <c r="I30" s="239"/>
      <c r="J30" s="239"/>
      <c r="K30" s="239"/>
    </row>
    <row r="31" spans="2:11" x14ac:dyDescent="0.25">
      <c r="B31" s="239"/>
      <c r="C31" s="239"/>
      <c r="D31" s="239"/>
      <c r="E31" s="239"/>
      <c r="F31" s="239"/>
      <c r="G31" s="239"/>
      <c r="H31" s="239"/>
      <c r="I31" s="239"/>
      <c r="J31" s="239"/>
      <c r="K31" s="239"/>
    </row>
    <row r="32" spans="2:11" x14ac:dyDescent="0.25">
      <c r="B32" s="239"/>
      <c r="C32" s="239"/>
      <c r="D32" s="239"/>
      <c r="E32" s="239"/>
      <c r="F32" s="239"/>
      <c r="G32" s="239"/>
      <c r="H32" s="239"/>
      <c r="I32" s="239"/>
      <c r="J32" s="239"/>
      <c r="K32" s="239"/>
    </row>
    <row r="33" spans="2:11" x14ac:dyDescent="0.25">
      <c r="B33" s="239"/>
      <c r="C33" s="239"/>
      <c r="D33" s="239"/>
      <c r="E33" s="239"/>
      <c r="F33" s="239"/>
      <c r="G33" s="239"/>
      <c r="H33" s="239"/>
      <c r="I33" s="239"/>
      <c r="J33" s="239"/>
      <c r="K33" s="239"/>
    </row>
    <row r="34" spans="2:11" x14ac:dyDescent="0.25">
      <c r="B34" s="239"/>
      <c r="C34" s="239"/>
      <c r="D34" s="239"/>
      <c r="E34" s="239"/>
      <c r="F34" s="239"/>
      <c r="G34" s="239"/>
      <c r="H34" s="239"/>
      <c r="I34" s="239"/>
      <c r="J34" s="239"/>
      <c r="K34" s="239"/>
    </row>
    <row r="35" spans="2:11" x14ac:dyDescent="0.25">
      <c r="B35" s="239"/>
      <c r="C35" s="239"/>
      <c r="D35" s="239"/>
      <c r="E35" s="239"/>
      <c r="F35" s="239"/>
      <c r="G35" s="239"/>
      <c r="H35" s="239"/>
      <c r="I35" s="239"/>
      <c r="J35" s="239"/>
      <c r="K35" s="239"/>
    </row>
    <row r="36" spans="2:11" x14ac:dyDescent="0.25">
      <c r="B36" s="239"/>
      <c r="C36" s="239"/>
      <c r="D36" s="239"/>
      <c r="E36" s="239"/>
      <c r="F36" s="239"/>
      <c r="G36" s="239"/>
      <c r="H36" s="239"/>
      <c r="I36" s="239"/>
      <c r="J36" s="239"/>
      <c r="K36" s="239"/>
    </row>
    <row r="37" spans="2:11" x14ac:dyDescent="0.25">
      <c r="B37" s="239"/>
      <c r="C37" s="239"/>
      <c r="D37" s="239"/>
      <c r="E37" s="239"/>
      <c r="F37" s="239"/>
      <c r="G37" s="239"/>
      <c r="H37" s="239"/>
      <c r="I37" s="239"/>
      <c r="J37" s="239"/>
      <c r="K37" s="239"/>
    </row>
    <row r="38" spans="2:11" x14ac:dyDescent="0.25">
      <c r="B38" s="239"/>
      <c r="C38" s="239"/>
      <c r="D38" s="239"/>
      <c r="E38" s="239"/>
      <c r="F38" s="239"/>
      <c r="G38" s="239"/>
      <c r="H38" s="239"/>
      <c r="I38" s="239"/>
      <c r="J38" s="239"/>
      <c r="K38" s="239"/>
    </row>
    <row r="39" spans="2:11" x14ac:dyDescent="0.25">
      <c r="B39" s="239"/>
      <c r="C39" s="239"/>
      <c r="D39" s="239"/>
      <c r="E39" s="239"/>
      <c r="F39" s="239"/>
      <c r="G39" s="239"/>
      <c r="H39" s="239"/>
      <c r="I39" s="239"/>
      <c r="J39" s="239"/>
      <c r="K39" s="239"/>
    </row>
    <row r="40" spans="2:11" x14ac:dyDescent="0.25">
      <c r="B40" s="239"/>
      <c r="C40" s="239"/>
      <c r="D40" s="239"/>
      <c r="E40" s="239"/>
      <c r="F40" s="239"/>
      <c r="G40" s="239"/>
      <c r="H40" s="239"/>
      <c r="I40" s="239"/>
      <c r="J40" s="239"/>
      <c r="K40" s="239"/>
    </row>
    <row r="41" spans="2:11" x14ac:dyDescent="0.25">
      <c r="B41" s="239"/>
      <c r="C41" s="239"/>
      <c r="D41" s="239"/>
      <c r="E41" s="239"/>
      <c r="F41" s="239"/>
      <c r="G41" s="239"/>
      <c r="H41" s="239"/>
      <c r="I41" s="239"/>
      <c r="J41" s="239"/>
      <c r="K41" s="239"/>
    </row>
    <row r="42" spans="2:11" x14ac:dyDescent="0.25">
      <c r="B42" s="239"/>
      <c r="C42" s="239"/>
      <c r="D42" s="239"/>
      <c r="E42" s="239"/>
      <c r="F42" s="239"/>
      <c r="G42" s="239"/>
      <c r="H42" s="239"/>
      <c r="I42" s="239"/>
      <c r="J42" s="239"/>
      <c r="K42" s="239"/>
    </row>
    <row r="43" spans="2:11" x14ac:dyDescent="0.25">
      <c r="B43" s="239"/>
      <c r="C43" s="239"/>
      <c r="D43" s="239"/>
      <c r="E43" s="239"/>
      <c r="F43" s="239"/>
      <c r="G43" s="239"/>
      <c r="H43" s="239"/>
      <c r="I43" s="239"/>
      <c r="J43" s="239"/>
      <c r="K43" s="239"/>
    </row>
    <row r="44" spans="2:11" x14ac:dyDescent="0.25">
      <c r="B44" s="239"/>
      <c r="C44" s="239"/>
      <c r="D44" s="239"/>
      <c r="E44" s="239"/>
      <c r="F44" s="239"/>
      <c r="G44" s="239"/>
      <c r="H44" s="239"/>
      <c r="I44" s="239"/>
      <c r="J44" s="239"/>
      <c r="K44" s="239"/>
    </row>
    <row r="45" spans="2:11" x14ac:dyDescent="0.25">
      <c r="B45" s="239"/>
      <c r="C45" s="239"/>
      <c r="D45" s="239"/>
      <c r="E45" s="239"/>
      <c r="F45" s="239"/>
      <c r="G45" s="239"/>
      <c r="H45" s="239"/>
      <c r="I45" s="239"/>
      <c r="J45" s="239"/>
      <c r="K45" s="239"/>
    </row>
    <row r="46" spans="2:11" x14ac:dyDescent="0.25">
      <c r="B46" s="239"/>
      <c r="C46" s="239"/>
      <c r="D46" s="239"/>
      <c r="E46" s="239"/>
      <c r="F46" s="239"/>
      <c r="G46" s="239"/>
      <c r="H46" s="239"/>
      <c r="I46" s="239"/>
      <c r="J46" s="239"/>
      <c r="K46" s="239"/>
    </row>
    <row r="47" spans="2:11" x14ac:dyDescent="0.25">
      <c r="B47" s="239"/>
      <c r="C47" s="239"/>
      <c r="D47" s="239"/>
      <c r="E47" s="239"/>
      <c r="F47" s="239"/>
      <c r="G47" s="239"/>
      <c r="H47" s="239"/>
      <c r="I47" s="239"/>
      <c r="J47" s="239"/>
      <c r="K47" s="239"/>
    </row>
    <row r="48" spans="2:11" x14ac:dyDescent="0.25">
      <c r="B48" s="239"/>
      <c r="C48" s="239"/>
      <c r="D48" s="239"/>
      <c r="E48" s="239"/>
      <c r="F48" s="239"/>
      <c r="G48" s="239"/>
      <c r="H48" s="239"/>
      <c r="I48" s="239"/>
      <c r="J48" s="239"/>
      <c r="K48" s="239"/>
    </row>
    <row r="49" spans="2:11" x14ac:dyDescent="0.25">
      <c r="B49" s="239"/>
      <c r="C49" s="239"/>
      <c r="D49" s="239"/>
      <c r="E49" s="239"/>
      <c r="F49" s="239"/>
      <c r="G49" s="239"/>
      <c r="H49" s="239"/>
      <c r="I49" s="239"/>
      <c r="J49" s="239"/>
      <c r="K49" s="239"/>
    </row>
    <row r="50" spans="2:11" x14ac:dyDescent="0.25">
      <c r="B50" s="239"/>
      <c r="C50" s="239"/>
      <c r="D50" s="239"/>
      <c r="E50" s="239"/>
      <c r="F50" s="239"/>
      <c r="G50" s="239"/>
      <c r="H50" s="239"/>
      <c r="I50" s="239"/>
      <c r="J50" s="239"/>
      <c r="K50" s="239"/>
    </row>
    <row r="51" spans="2:11" x14ac:dyDescent="0.25">
      <c r="B51" s="239"/>
      <c r="C51" s="239"/>
      <c r="D51" s="239"/>
      <c r="E51" s="239"/>
      <c r="F51" s="239"/>
      <c r="G51" s="239"/>
      <c r="H51" s="239"/>
      <c r="I51" s="239"/>
      <c r="J51" s="239"/>
      <c r="K51" s="239"/>
    </row>
    <row r="52" spans="2:11" x14ac:dyDescent="0.25">
      <c r="B52" s="239"/>
      <c r="C52" s="239"/>
      <c r="D52" s="239"/>
      <c r="E52" s="239"/>
      <c r="F52" s="239"/>
      <c r="G52" s="239"/>
      <c r="H52" s="239"/>
      <c r="I52" s="239"/>
      <c r="J52" s="239"/>
      <c r="K52" s="239"/>
    </row>
    <row r="53" spans="2:11" x14ac:dyDescent="0.25">
      <c r="B53" s="239"/>
      <c r="C53" s="239"/>
      <c r="D53" s="239"/>
      <c r="E53" s="239"/>
      <c r="F53" s="239"/>
      <c r="G53" s="239"/>
      <c r="H53" s="239"/>
      <c r="I53" s="239"/>
      <c r="J53" s="239"/>
      <c r="K53" s="239"/>
    </row>
    <row r="54" spans="2:11" x14ac:dyDescent="0.25">
      <c r="B54" s="239"/>
      <c r="C54" s="239"/>
      <c r="D54" s="239"/>
      <c r="E54" s="239"/>
      <c r="F54" s="239"/>
      <c r="G54" s="239"/>
      <c r="H54" s="239"/>
      <c r="I54" s="239"/>
      <c r="J54" s="239"/>
      <c r="K54" s="239"/>
    </row>
    <row r="55" spans="2:11" x14ac:dyDescent="0.25">
      <c r="B55" s="239"/>
      <c r="C55" s="239"/>
      <c r="D55" s="239"/>
      <c r="E55" s="239"/>
      <c r="F55" s="239"/>
      <c r="G55" s="239"/>
      <c r="H55" s="239"/>
      <c r="I55" s="239"/>
      <c r="J55" s="239"/>
      <c r="K55" s="239"/>
    </row>
    <row r="56" spans="2:11" x14ac:dyDescent="0.25">
      <c r="B56" s="239"/>
      <c r="C56" s="239"/>
      <c r="D56" s="239"/>
      <c r="E56" s="239"/>
      <c r="F56" s="239"/>
      <c r="G56" s="239"/>
      <c r="H56" s="239"/>
      <c r="I56" s="239"/>
      <c r="J56" s="239"/>
      <c r="K56" s="239"/>
    </row>
    <row r="57" spans="2:11" x14ac:dyDescent="0.25">
      <c r="B57" s="239"/>
      <c r="C57" s="239"/>
      <c r="D57" s="239"/>
      <c r="E57" s="239"/>
      <c r="F57" s="239"/>
      <c r="G57" s="239"/>
      <c r="H57" s="239"/>
      <c r="I57" s="239"/>
      <c r="J57" s="239"/>
      <c r="K57" s="239"/>
    </row>
    <row r="58" spans="2:11" x14ac:dyDescent="0.25">
      <c r="B58" s="239"/>
      <c r="C58" s="239"/>
      <c r="D58" s="239"/>
      <c r="E58" s="239"/>
      <c r="F58" s="239"/>
      <c r="G58" s="239"/>
      <c r="H58" s="239"/>
      <c r="I58" s="239"/>
      <c r="J58" s="239"/>
      <c r="K58" s="239"/>
    </row>
    <row r="59" spans="2:11" x14ac:dyDescent="0.25">
      <c r="B59" s="239"/>
      <c r="C59" s="239"/>
      <c r="D59" s="239"/>
      <c r="E59" s="239"/>
      <c r="F59" s="239"/>
      <c r="G59" s="239"/>
      <c r="H59" s="239"/>
      <c r="I59" s="239"/>
      <c r="J59" s="239"/>
      <c r="K59" s="239"/>
    </row>
    <row r="60" spans="2:11" x14ac:dyDescent="0.25">
      <c r="B60" s="239"/>
      <c r="C60" s="239"/>
      <c r="D60" s="239"/>
      <c r="E60" s="239"/>
      <c r="F60" s="239"/>
      <c r="G60" s="239"/>
      <c r="H60" s="239"/>
      <c r="I60" s="239"/>
      <c r="J60" s="239"/>
      <c r="K60" s="239"/>
    </row>
    <row r="61" spans="2:11" x14ac:dyDescent="0.25">
      <c r="B61" s="239"/>
      <c r="C61" s="239"/>
      <c r="D61" s="239"/>
      <c r="E61" s="239"/>
      <c r="F61" s="239"/>
      <c r="G61" s="239"/>
      <c r="H61" s="239"/>
      <c r="I61" s="239"/>
      <c r="J61" s="239"/>
      <c r="K61" s="239"/>
    </row>
    <row r="62" spans="2:11" x14ac:dyDescent="0.25">
      <c r="B62" s="239"/>
      <c r="C62" s="239"/>
      <c r="D62" s="239"/>
      <c r="E62" s="239"/>
      <c r="F62" s="239"/>
      <c r="G62" s="239"/>
      <c r="H62" s="239"/>
      <c r="I62" s="239"/>
      <c r="J62" s="239"/>
      <c r="K62" s="239"/>
    </row>
    <row r="63" spans="2:11" x14ac:dyDescent="0.25">
      <c r="B63" s="239"/>
      <c r="C63" s="239"/>
      <c r="D63" s="239"/>
      <c r="E63" s="239"/>
      <c r="F63" s="239"/>
      <c r="G63" s="239"/>
      <c r="H63" s="239"/>
      <c r="I63" s="239"/>
      <c r="J63" s="239"/>
      <c r="K63" s="239"/>
    </row>
    <row r="64" spans="2:11" x14ac:dyDescent="0.25">
      <c r="B64" s="239"/>
      <c r="C64" s="239"/>
      <c r="D64" s="239"/>
      <c r="E64" s="239"/>
      <c r="F64" s="239"/>
      <c r="G64" s="239"/>
      <c r="H64" s="239"/>
      <c r="I64" s="239"/>
      <c r="J64" s="239"/>
      <c r="K64" s="239"/>
    </row>
    <row r="65" spans="2:11" x14ac:dyDescent="0.25">
      <c r="B65" s="239"/>
      <c r="C65" s="239"/>
      <c r="D65" s="239"/>
      <c r="E65" s="239"/>
      <c r="F65" s="239"/>
      <c r="G65" s="239"/>
      <c r="H65" s="239"/>
      <c r="I65" s="239"/>
      <c r="J65" s="239"/>
      <c r="K65" s="239"/>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s="5" t="s">
        <v>37</v>
      </c>
    </row>
    <row r="3" spans="1:12" x14ac:dyDescent="0.25">
      <c r="A3" t="s">
        <v>652</v>
      </c>
      <c r="B3" t="s">
        <v>684</v>
      </c>
      <c r="C3" t="s">
        <v>650</v>
      </c>
      <c r="D3" t="s">
        <v>665</v>
      </c>
      <c r="E3" t="s">
        <v>9</v>
      </c>
      <c r="G3" t="s">
        <v>13</v>
      </c>
      <c r="H3" t="s">
        <v>28</v>
      </c>
      <c r="I3" t="s">
        <v>18</v>
      </c>
      <c r="K3" t="s">
        <v>9</v>
      </c>
      <c r="L3" s="5"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s="5"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s="5" t="s">
        <v>44</v>
      </c>
    </row>
    <row r="10" spans="1:12" x14ac:dyDescent="0.25">
      <c r="C10" t="s">
        <v>676</v>
      </c>
      <c r="D10" t="s">
        <v>671</v>
      </c>
      <c r="G10" s="42">
        <f ca="1">(YEAR(TODAY())-1)</f>
        <v>2022</v>
      </c>
      <c r="L10" s="5" t="s">
        <v>45</v>
      </c>
    </row>
    <row r="11" spans="1:12" x14ac:dyDescent="0.25">
      <c r="C11" t="s">
        <v>677</v>
      </c>
      <c r="F11" t="s">
        <v>628</v>
      </c>
      <c r="L11" s="5" t="s">
        <v>46</v>
      </c>
    </row>
    <row r="12" spans="1:12" x14ac:dyDescent="0.25">
      <c r="C12" t="s">
        <v>691</v>
      </c>
      <c r="F12" t="s">
        <v>629</v>
      </c>
      <c r="L12" s="5"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s="5" t="s">
        <v>62</v>
      </c>
    </row>
    <row r="29" spans="12:12" x14ac:dyDescent="0.25">
      <c r="L29" s="5" t="s">
        <v>63</v>
      </c>
    </row>
    <row r="30" spans="12:12" x14ac:dyDescent="0.25">
      <c r="L30" s="5" t="s">
        <v>587</v>
      </c>
    </row>
    <row r="31" spans="12:12" x14ac:dyDescent="0.25">
      <c r="L31" s="5"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s="5"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s="5" t="s">
        <v>84</v>
      </c>
    </row>
    <row r="52" spans="12:12" x14ac:dyDescent="0.25">
      <c r="L52" t="s">
        <v>85</v>
      </c>
    </row>
    <row r="53" spans="12:12" x14ac:dyDescent="0.25">
      <c r="L53" t="s">
        <v>86</v>
      </c>
    </row>
    <row r="54" spans="12:12" x14ac:dyDescent="0.25">
      <c r="L54" s="5" t="s">
        <v>87</v>
      </c>
    </row>
    <row r="55" spans="12:12" x14ac:dyDescent="0.25">
      <c r="L55" t="s">
        <v>88</v>
      </c>
    </row>
    <row r="56" spans="12:12" x14ac:dyDescent="0.25">
      <c r="L56" s="5" t="s">
        <v>89</v>
      </c>
    </row>
    <row r="57" spans="12:12" x14ac:dyDescent="0.25">
      <c r="L57" t="s">
        <v>90</v>
      </c>
    </row>
    <row r="58" spans="12:12" x14ac:dyDescent="0.25">
      <c r="L58" s="5" t="s">
        <v>91</v>
      </c>
    </row>
    <row r="59" spans="12:12" x14ac:dyDescent="0.25">
      <c r="L59" s="5"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s="5" t="s">
        <v>96</v>
      </c>
    </row>
    <row r="65" spans="12:12" x14ac:dyDescent="0.25">
      <c r="L65" s="5" t="s">
        <v>97</v>
      </c>
    </row>
    <row r="66" spans="12:12" x14ac:dyDescent="0.25">
      <c r="L66" s="5" t="s">
        <v>98</v>
      </c>
    </row>
    <row r="67" spans="12:12" x14ac:dyDescent="0.25">
      <c r="L67" t="s">
        <v>99</v>
      </c>
    </row>
    <row r="68" spans="12:12" x14ac:dyDescent="0.25">
      <c r="L68" s="5" t="s">
        <v>100</v>
      </c>
    </row>
    <row r="69" spans="12:12" x14ac:dyDescent="0.25">
      <c r="L69" s="5" t="s">
        <v>589</v>
      </c>
    </row>
    <row r="70" spans="12:12" x14ac:dyDescent="0.25">
      <c r="L70" t="s">
        <v>101</v>
      </c>
    </row>
    <row r="71" spans="12:12" x14ac:dyDescent="0.25">
      <c r="L71" s="5" t="s">
        <v>102</v>
      </c>
    </row>
    <row r="72" spans="12:12" x14ac:dyDescent="0.25">
      <c r="L72" s="5"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6" t="s">
        <v>111</v>
      </c>
    </row>
    <row r="81" spans="12:12" x14ac:dyDescent="0.25">
      <c r="L81" s="6" t="s">
        <v>112</v>
      </c>
    </row>
    <row r="82" spans="12:12" x14ac:dyDescent="0.25">
      <c r="L82" t="s">
        <v>113</v>
      </c>
    </row>
    <row r="83" spans="12:12" x14ac:dyDescent="0.25">
      <c r="L83" t="s">
        <v>114</v>
      </c>
    </row>
    <row r="84" spans="12:12" x14ac:dyDescent="0.25">
      <c r="L84" t="s">
        <v>115</v>
      </c>
    </row>
    <row r="85" spans="12:12" x14ac:dyDescent="0.25">
      <c r="L85" s="5" t="s">
        <v>116</v>
      </c>
    </row>
    <row r="86" spans="12:12" x14ac:dyDescent="0.25">
      <c r="L86" t="s">
        <v>117</v>
      </c>
    </row>
    <row r="87" spans="12:12" x14ac:dyDescent="0.25">
      <c r="L87" t="s">
        <v>118</v>
      </c>
    </row>
    <row r="88" spans="12:12" x14ac:dyDescent="0.25">
      <c r="L88" s="5" t="s">
        <v>119</v>
      </c>
    </row>
    <row r="89" spans="12:12" x14ac:dyDescent="0.25">
      <c r="L89" s="5"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s="5" t="s">
        <v>125</v>
      </c>
    </row>
    <row r="95" spans="12:12" x14ac:dyDescent="0.25">
      <c r="L95" s="5" t="s">
        <v>126</v>
      </c>
    </row>
    <row r="96" spans="12:12" x14ac:dyDescent="0.25">
      <c r="L96" s="5" t="s">
        <v>127</v>
      </c>
    </row>
    <row r="97" spans="12:12" x14ac:dyDescent="0.25">
      <c r="L97" t="s">
        <v>128</v>
      </c>
    </row>
    <row r="98" spans="12:12" x14ac:dyDescent="0.25">
      <c r="L98" t="s">
        <v>129</v>
      </c>
    </row>
    <row r="99" spans="12:12" x14ac:dyDescent="0.25">
      <c r="L99" s="5" t="s">
        <v>130</v>
      </c>
    </row>
    <row r="100" spans="12:12" x14ac:dyDescent="0.25">
      <c r="L100" t="s">
        <v>131</v>
      </c>
    </row>
    <row r="101" spans="12:12" x14ac:dyDescent="0.25">
      <c r="L101" t="s">
        <v>132</v>
      </c>
    </row>
    <row r="102" spans="12:12" x14ac:dyDescent="0.25">
      <c r="L102" s="5" t="s">
        <v>133</v>
      </c>
    </row>
    <row r="103" spans="12:12" x14ac:dyDescent="0.25">
      <c r="L103" t="s">
        <v>134</v>
      </c>
    </row>
    <row r="104" spans="12:12" x14ac:dyDescent="0.25">
      <c r="L104" s="5" t="s">
        <v>135</v>
      </c>
    </row>
    <row r="105" spans="12:12" x14ac:dyDescent="0.25">
      <c r="L105" s="5" t="s">
        <v>136</v>
      </c>
    </row>
    <row r="106" spans="12:12" x14ac:dyDescent="0.25">
      <c r="L106" t="s">
        <v>137</v>
      </c>
    </row>
    <row r="107" spans="12:12" x14ac:dyDescent="0.25">
      <c r="L107" t="s">
        <v>138</v>
      </c>
    </row>
    <row r="108" spans="12:12" x14ac:dyDescent="0.25">
      <c r="L108" s="5"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s="5" t="s">
        <v>146</v>
      </c>
    </row>
    <row r="116" spans="12:12" x14ac:dyDescent="0.25">
      <c r="L116" t="s">
        <v>147</v>
      </c>
    </row>
    <row r="117" spans="12:12" x14ac:dyDescent="0.25">
      <c r="L117" t="s">
        <v>148</v>
      </c>
    </row>
    <row r="118" spans="12:12" x14ac:dyDescent="0.25">
      <c r="L118" t="s">
        <v>149</v>
      </c>
    </row>
    <row r="119" spans="12:12" x14ac:dyDescent="0.25">
      <c r="L119" s="6" t="s">
        <v>150</v>
      </c>
    </row>
    <row r="120" spans="12:12" x14ac:dyDescent="0.25">
      <c r="L120" s="5" t="s">
        <v>151</v>
      </c>
    </row>
    <row r="121" spans="12:12" x14ac:dyDescent="0.25">
      <c r="L121" t="s">
        <v>152</v>
      </c>
    </row>
    <row r="122" spans="12:12" x14ac:dyDescent="0.25">
      <c r="L122" s="5" t="s">
        <v>153</v>
      </c>
    </row>
    <row r="123" spans="12:12" x14ac:dyDescent="0.25">
      <c r="L123" s="5" t="s">
        <v>154</v>
      </c>
    </row>
    <row r="124" spans="12:12" x14ac:dyDescent="0.25">
      <c r="L124" t="s">
        <v>155</v>
      </c>
    </row>
    <row r="125" spans="12:12" x14ac:dyDescent="0.25">
      <c r="L125" t="s">
        <v>156</v>
      </c>
    </row>
    <row r="126" spans="12:12" x14ac:dyDescent="0.25">
      <c r="L126" s="5" t="s">
        <v>157</v>
      </c>
    </row>
    <row r="127" spans="12:12" x14ac:dyDescent="0.25">
      <c r="L127" s="5" t="s">
        <v>158</v>
      </c>
    </row>
    <row r="128" spans="12:12" x14ac:dyDescent="0.25">
      <c r="L128" s="5" t="s">
        <v>159</v>
      </c>
    </row>
    <row r="129" spans="12:12" x14ac:dyDescent="0.25">
      <c r="L129" s="5" t="s">
        <v>160</v>
      </c>
    </row>
    <row r="130" spans="12:12" x14ac:dyDescent="0.25">
      <c r="L130" s="5" t="s">
        <v>161</v>
      </c>
    </row>
    <row r="131" spans="12:12" x14ac:dyDescent="0.25">
      <c r="L131" t="s">
        <v>162</v>
      </c>
    </row>
    <row r="132" spans="12:12" x14ac:dyDescent="0.25">
      <c r="L132" s="5" t="s">
        <v>163</v>
      </c>
    </row>
    <row r="133" spans="12:12" x14ac:dyDescent="0.25">
      <c r="L133" s="5" t="s">
        <v>591</v>
      </c>
    </row>
    <row r="134" spans="12:12" x14ac:dyDescent="0.25">
      <c r="L134" s="5" t="s">
        <v>164</v>
      </c>
    </row>
    <row r="135" spans="12:12" x14ac:dyDescent="0.25">
      <c r="L135" t="s">
        <v>165</v>
      </c>
    </row>
    <row r="136" spans="12:12" x14ac:dyDescent="0.25">
      <c r="L136" s="5"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s="5" t="s">
        <v>171</v>
      </c>
    </row>
    <row r="142" spans="12:12" x14ac:dyDescent="0.25">
      <c r="L142" s="5"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s="5" t="s">
        <v>178</v>
      </c>
    </row>
    <row r="149" spans="12:12" x14ac:dyDescent="0.25">
      <c r="L149" t="s">
        <v>179</v>
      </c>
    </row>
    <row r="150" spans="12:12" x14ac:dyDescent="0.25">
      <c r="L150" s="5"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s="5" t="s">
        <v>186</v>
      </c>
    </row>
    <row r="157" spans="12:12" x14ac:dyDescent="0.25">
      <c r="L157" s="5"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s="5" t="s">
        <v>192</v>
      </c>
    </row>
    <row r="163" spans="12:12" x14ac:dyDescent="0.25">
      <c r="L163" t="s">
        <v>193</v>
      </c>
    </row>
    <row r="164" spans="12:12" x14ac:dyDescent="0.25">
      <c r="L164" s="5" t="s">
        <v>194</v>
      </c>
    </row>
    <row r="165" spans="12:12" x14ac:dyDescent="0.25">
      <c r="L165" s="5" t="s">
        <v>592</v>
      </c>
    </row>
    <row r="166" spans="12:12" x14ac:dyDescent="0.25">
      <c r="L166" s="5"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s="5"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s="5" t="s">
        <v>208</v>
      </c>
    </row>
    <row r="180" spans="12:12" x14ac:dyDescent="0.25">
      <c r="L180" t="s">
        <v>209</v>
      </c>
    </row>
    <row r="181" spans="12:12" x14ac:dyDescent="0.25">
      <c r="L181" s="5" t="s">
        <v>210</v>
      </c>
    </row>
    <row r="182" spans="12:12" x14ac:dyDescent="0.25">
      <c r="L182" t="s">
        <v>211</v>
      </c>
    </row>
    <row r="183" spans="12:12" x14ac:dyDescent="0.25">
      <c r="L183" t="s">
        <v>212</v>
      </c>
    </row>
    <row r="184" spans="12:12" x14ac:dyDescent="0.25">
      <c r="L184" t="s">
        <v>213</v>
      </c>
    </row>
    <row r="185" spans="12:12" x14ac:dyDescent="0.25">
      <c r="L185" s="5" t="s">
        <v>214</v>
      </c>
    </row>
    <row r="186" spans="12:12" x14ac:dyDescent="0.25">
      <c r="L186" t="s">
        <v>215</v>
      </c>
    </row>
    <row r="187" spans="12:12" x14ac:dyDescent="0.25">
      <c r="L187" t="s">
        <v>216</v>
      </c>
    </row>
    <row r="188" spans="12:12" x14ac:dyDescent="0.25">
      <c r="L188" t="s">
        <v>217</v>
      </c>
    </row>
    <row r="189" spans="12:12" x14ac:dyDescent="0.25">
      <c r="L189" s="5" t="s">
        <v>218</v>
      </c>
    </row>
    <row r="190" spans="12:12" x14ac:dyDescent="0.25">
      <c r="L190" s="5" t="s">
        <v>219</v>
      </c>
    </row>
    <row r="191" spans="12:12" x14ac:dyDescent="0.25">
      <c r="L191" t="s">
        <v>220</v>
      </c>
    </row>
    <row r="192" spans="12:12" x14ac:dyDescent="0.25">
      <c r="L192" t="s">
        <v>221</v>
      </c>
    </row>
    <row r="193" spans="12:12" x14ac:dyDescent="0.25">
      <c r="L193" t="s">
        <v>222</v>
      </c>
    </row>
    <row r="194" spans="12:12" x14ac:dyDescent="0.25">
      <c r="L194" s="5"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s="5" t="s">
        <v>229</v>
      </c>
    </row>
    <row r="201" spans="12:12" x14ac:dyDescent="0.25">
      <c r="L201" t="s">
        <v>230</v>
      </c>
    </row>
    <row r="202" spans="12:12" x14ac:dyDescent="0.25">
      <c r="L202" t="s">
        <v>231</v>
      </c>
    </row>
    <row r="203" spans="12:12" x14ac:dyDescent="0.25">
      <c r="L203" s="5"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s="5" t="s">
        <v>237</v>
      </c>
    </row>
    <row r="209" spans="12:12" x14ac:dyDescent="0.25">
      <c r="L209" s="5" t="s">
        <v>593</v>
      </c>
    </row>
    <row r="210" spans="12:12" x14ac:dyDescent="0.25">
      <c r="L210" s="5" t="s">
        <v>238</v>
      </c>
    </row>
    <row r="211" spans="12:12" x14ac:dyDescent="0.25">
      <c r="L211" s="5" t="s">
        <v>594</v>
      </c>
    </row>
    <row r="212" spans="12:12" x14ac:dyDescent="0.25">
      <c r="L212" s="5"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s="5"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s="5" t="s">
        <v>260</v>
      </c>
    </row>
    <row r="234" spans="12:12" x14ac:dyDescent="0.25">
      <c r="L234" t="s">
        <v>261</v>
      </c>
    </row>
    <row r="235" spans="12:12" x14ac:dyDescent="0.25">
      <c r="L235" t="s">
        <v>262</v>
      </c>
    </row>
    <row r="236" spans="12:12" x14ac:dyDescent="0.25">
      <c r="L236" s="5" t="s">
        <v>263</v>
      </c>
    </row>
    <row r="237" spans="12:12" x14ac:dyDescent="0.25">
      <c r="L237" t="s">
        <v>264</v>
      </c>
    </row>
    <row r="238" spans="12:12" x14ac:dyDescent="0.25">
      <c r="L238" t="s">
        <v>265</v>
      </c>
    </row>
    <row r="239" spans="12:12" x14ac:dyDescent="0.25">
      <c r="L239" t="s">
        <v>266</v>
      </c>
    </row>
    <row r="240" spans="12:12" x14ac:dyDescent="0.25">
      <c r="L240" s="5" t="s">
        <v>267</v>
      </c>
    </row>
    <row r="241" spans="12:12" x14ac:dyDescent="0.25">
      <c r="L241" t="s">
        <v>268</v>
      </c>
    </row>
    <row r="242" spans="12:12" x14ac:dyDescent="0.25">
      <c r="L242" t="s">
        <v>269</v>
      </c>
    </row>
    <row r="243" spans="12:12" x14ac:dyDescent="0.25">
      <c r="L243" s="5" t="s">
        <v>270</v>
      </c>
    </row>
    <row r="244" spans="12:12" x14ac:dyDescent="0.25">
      <c r="L244" t="s">
        <v>271</v>
      </c>
    </row>
    <row r="245" spans="12:12" x14ac:dyDescent="0.25">
      <c r="L245" t="s">
        <v>272</v>
      </c>
    </row>
    <row r="246" spans="12:12" x14ac:dyDescent="0.25">
      <c r="L246" s="5"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s="5" t="s">
        <v>278</v>
      </c>
    </row>
    <row r="252" spans="12:12" x14ac:dyDescent="0.25">
      <c r="L252" t="s">
        <v>279</v>
      </c>
    </row>
    <row r="253" spans="12:12" x14ac:dyDescent="0.25">
      <c r="L253" s="5" t="s">
        <v>280</v>
      </c>
    </row>
    <row r="254" spans="12:12" x14ac:dyDescent="0.25">
      <c r="L254" t="s">
        <v>281</v>
      </c>
    </row>
    <row r="255" spans="12:12" x14ac:dyDescent="0.25">
      <c r="L255" t="s">
        <v>282</v>
      </c>
    </row>
    <row r="256" spans="12:12" x14ac:dyDescent="0.25">
      <c r="L256" s="5" t="s">
        <v>283</v>
      </c>
    </row>
    <row r="257" spans="12:12" x14ac:dyDescent="0.25">
      <c r="L257" t="s">
        <v>284</v>
      </c>
    </row>
    <row r="258" spans="12:12" x14ac:dyDescent="0.25">
      <c r="L258" t="s">
        <v>285</v>
      </c>
    </row>
    <row r="259" spans="12:12" x14ac:dyDescent="0.25">
      <c r="L259" s="5"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s="5" t="s">
        <v>297</v>
      </c>
    </row>
    <row r="271" spans="12:12" x14ac:dyDescent="0.25">
      <c r="L271" t="s">
        <v>298</v>
      </c>
    </row>
    <row r="272" spans="12:12" x14ac:dyDescent="0.25">
      <c r="L272" t="s">
        <v>299</v>
      </c>
    </row>
    <row r="273" spans="12:12" x14ac:dyDescent="0.25">
      <c r="L273" s="5" t="s">
        <v>300</v>
      </c>
    </row>
    <row r="274" spans="12:12" x14ac:dyDescent="0.25">
      <c r="L274" s="5"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s="5" t="s">
        <v>305</v>
      </c>
    </row>
    <row r="280" spans="12:12" x14ac:dyDescent="0.25">
      <c r="L280" t="s">
        <v>306</v>
      </c>
    </row>
    <row r="281" spans="12:12" x14ac:dyDescent="0.25">
      <c r="L281" t="s">
        <v>307</v>
      </c>
    </row>
    <row r="282" spans="12:12" x14ac:dyDescent="0.25">
      <c r="L282" t="s">
        <v>308</v>
      </c>
    </row>
    <row r="283" spans="12:12" x14ac:dyDescent="0.25">
      <c r="L283" s="5" t="s">
        <v>309</v>
      </c>
    </row>
    <row r="284" spans="12:12" x14ac:dyDescent="0.25">
      <c r="L284" s="5" t="s">
        <v>310</v>
      </c>
    </row>
    <row r="285" spans="12:12" x14ac:dyDescent="0.25">
      <c r="L285" s="5" t="s">
        <v>596</v>
      </c>
    </row>
    <row r="286" spans="12:12" x14ac:dyDescent="0.25">
      <c r="L286" s="5" t="s">
        <v>311</v>
      </c>
    </row>
    <row r="287" spans="12:12" x14ac:dyDescent="0.25">
      <c r="L287" t="s">
        <v>312</v>
      </c>
    </row>
    <row r="288" spans="12:12" x14ac:dyDescent="0.25">
      <c r="L288" t="s">
        <v>313</v>
      </c>
    </row>
    <row r="289" spans="12:12" x14ac:dyDescent="0.25">
      <c r="L289" s="5" t="s">
        <v>314</v>
      </c>
    </row>
    <row r="290" spans="12:12" x14ac:dyDescent="0.25">
      <c r="L290" t="s">
        <v>315</v>
      </c>
    </row>
    <row r="291" spans="12:12" x14ac:dyDescent="0.25">
      <c r="L291" t="s">
        <v>316</v>
      </c>
    </row>
    <row r="292" spans="12:12" x14ac:dyDescent="0.25">
      <c r="L292" s="5" t="s">
        <v>317</v>
      </c>
    </row>
    <row r="293" spans="12:12" x14ac:dyDescent="0.25">
      <c r="L293" t="s">
        <v>318</v>
      </c>
    </row>
    <row r="294" spans="12:12" x14ac:dyDescent="0.25">
      <c r="L294" s="5" t="s">
        <v>319</v>
      </c>
    </row>
    <row r="295" spans="12:12" x14ac:dyDescent="0.25">
      <c r="L295" s="5" t="s">
        <v>320</v>
      </c>
    </row>
    <row r="296" spans="12:12" x14ac:dyDescent="0.25">
      <c r="L296" s="5" t="s">
        <v>321</v>
      </c>
    </row>
    <row r="297" spans="12:12" x14ac:dyDescent="0.25">
      <c r="L297" s="5" t="s">
        <v>322</v>
      </c>
    </row>
    <row r="298" spans="12:12" x14ac:dyDescent="0.25">
      <c r="L298" t="s">
        <v>323</v>
      </c>
    </row>
    <row r="299" spans="12:12" x14ac:dyDescent="0.25">
      <c r="L299" t="s">
        <v>324</v>
      </c>
    </row>
    <row r="300" spans="12:12" x14ac:dyDescent="0.25">
      <c r="L300" s="5" t="s">
        <v>325</v>
      </c>
    </row>
    <row r="301" spans="12:12" x14ac:dyDescent="0.25">
      <c r="L301" t="s">
        <v>326</v>
      </c>
    </row>
    <row r="302" spans="12:12" x14ac:dyDescent="0.25">
      <c r="L302" t="s">
        <v>327</v>
      </c>
    </row>
    <row r="303" spans="12:12" x14ac:dyDescent="0.25">
      <c r="L303" s="5" t="s">
        <v>328</v>
      </c>
    </row>
    <row r="304" spans="12:12" x14ac:dyDescent="0.25">
      <c r="L304" t="s">
        <v>329</v>
      </c>
    </row>
    <row r="305" spans="12:12" x14ac:dyDescent="0.25">
      <c r="L305" s="5" t="s">
        <v>330</v>
      </c>
    </row>
    <row r="306" spans="12:12" x14ac:dyDescent="0.25">
      <c r="L306" s="5" t="s">
        <v>331</v>
      </c>
    </row>
    <row r="307" spans="12:12" x14ac:dyDescent="0.25">
      <c r="L307" s="5" t="s">
        <v>332</v>
      </c>
    </row>
    <row r="308" spans="12:12" x14ac:dyDescent="0.25">
      <c r="L308" s="5" t="s">
        <v>333</v>
      </c>
    </row>
    <row r="309" spans="12:12" x14ac:dyDescent="0.25">
      <c r="L309" s="5" t="s">
        <v>597</v>
      </c>
    </row>
    <row r="310" spans="12:12" x14ac:dyDescent="0.25">
      <c r="L310" s="5"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s="5"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s="5" t="s">
        <v>350</v>
      </c>
    </row>
    <row r="327" spans="12:12" x14ac:dyDescent="0.25">
      <c r="L327" t="s">
        <v>351</v>
      </c>
    </row>
    <row r="328" spans="12:12" x14ac:dyDescent="0.25">
      <c r="L328" t="s">
        <v>352</v>
      </c>
    </row>
    <row r="329" spans="12:12" x14ac:dyDescent="0.25">
      <c r="L329" s="5" t="s">
        <v>353</v>
      </c>
    </row>
    <row r="330" spans="12:12" x14ac:dyDescent="0.25">
      <c r="L330" t="s">
        <v>354</v>
      </c>
    </row>
    <row r="331" spans="12:12" x14ac:dyDescent="0.25">
      <c r="L331" s="5" t="s">
        <v>355</v>
      </c>
    </row>
    <row r="332" spans="12:12" x14ac:dyDescent="0.25">
      <c r="L332" t="s">
        <v>356</v>
      </c>
    </row>
    <row r="333" spans="12:12" x14ac:dyDescent="0.25">
      <c r="L333" s="5" t="s">
        <v>357</v>
      </c>
    </row>
    <row r="334" spans="12:12" x14ac:dyDescent="0.25">
      <c r="L334" s="5"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s="5" t="s">
        <v>365</v>
      </c>
    </row>
    <row r="342" spans="12:12" x14ac:dyDescent="0.25">
      <c r="L342" s="5" t="s">
        <v>366</v>
      </c>
    </row>
    <row r="343" spans="12:12" x14ac:dyDescent="0.25">
      <c r="L343" s="5" t="s">
        <v>367</v>
      </c>
    </row>
    <row r="344" spans="12:12" x14ac:dyDescent="0.25">
      <c r="L344" t="s">
        <v>368</v>
      </c>
    </row>
    <row r="345" spans="12:12" x14ac:dyDescent="0.25">
      <c r="L345" s="5" t="s">
        <v>369</v>
      </c>
    </row>
    <row r="346" spans="12:12" x14ac:dyDescent="0.25">
      <c r="L346" t="s">
        <v>370</v>
      </c>
    </row>
    <row r="347" spans="12:12" x14ac:dyDescent="0.25">
      <c r="L347" t="s">
        <v>371</v>
      </c>
    </row>
    <row r="348" spans="12:12" x14ac:dyDescent="0.25">
      <c r="L348" s="5" t="s">
        <v>372</v>
      </c>
    </row>
    <row r="349" spans="12:12" x14ac:dyDescent="0.25">
      <c r="L349" s="5"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s="5" t="s">
        <v>380</v>
      </c>
    </row>
    <row r="357" spans="12:12" x14ac:dyDescent="0.25">
      <c r="L357" s="5" t="s">
        <v>381</v>
      </c>
    </row>
    <row r="358" spans="12:12" x14ac:dyDescent="0.25">
      <c r="L358" t="s">
        <v>382</v>
      </c>
    </row>
    <row r="359" spans="12:12" x14ac:dyDescent="0.25">
      <c r="L359" s="5" t="s">
        <v>383</v>
      </c>
    </row>
    <row r="360" spans="12:12" x14ac:dyDescent="0.25">
      <c r="L360" s="5" t="s">
        <v>384</v>
      </c>
    </row>
    <row r="361" spans="12:12" x14ac:dyDescent="0.25">
      <c r="L361" t="s">
        <v>385</v>
      </c>
    </row>
    <row r="362" spans="12:12" x14ac:dyDescent="0.25">
      <c r="L362" s="5" t="s">
        <v>386</v>
      </c>
    </row>
    <row r="363" spans="12:12" x14ac:dyDescent="0.25">
      <c r="L363" s="5" t="s">
        <v>387</v>
      </c>
    </row>
    <row r="364" spans="12:12" x14ac:dyDescent="0.25">
      <c r="L364" t="s">
        <v>388</v>
      </c>
    </row>
    <row r="365" spans="12:12" x14ac:dyDescent="0.25">
      <c r="L365" s="5" t="s">
        <v>389</v>
      </c>
    </row>
    <row r="366" spans="12:12" x14ac:dyDescent="0.25">
      <c r="L366" s="5" t="s">
        <v>390</v>
      </c>
    </row>
    <row r="367" spans="12:12" x14ac:dyDescent="0.25">
      <c r="L367" s="5"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s="5" t="s">
        <v>399</v>
      </c>
    </row>
    <row r="376" spans="12:12" x14ac:dyDescent="0.25">
      <c r="L376" t="s">
        <v>400</v>
      </c>
    </row>
    <row r="377" spans="12:12" x14ac:dyDescent="0.25">
      <c r="L377" s="5"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s="5"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s="5"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s="5" t="s">
        <v>418</v>
      </c>
    </row>
    <row r="395" spans="12:12" x14ac:dyDescent="0.25">
      <c r="L395" t="s">
        <v>419</v>
      </c>
    </row>
    <row r="396" spans="12:12" x14ac:dyDescent="0.25">
      <c r="L396" t="s">
        <v>420</v>
      </c>
    </row>
    <row r="397" spans="12:12" x14ac:dyDescent="0.25">
      <c r="L397" t="s">
        <v>421</v>
      </c>
    </row>
    <row r="398" spans="12:12" x14ac:dyDescent="0.25">
      <c r="L398" s="5"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s="5" t="s">
        <v>428</v>
      </c>
    </row>
    <row r="405" spans="12:12" x14ac:dyDescent="0.25">
      <c r="L405" s="5" t="s">
        <v>429</v>
      </c>
    </row>
    <row r="406" spans="12:12" x14ac:dyDescent="0.25">
      <c r="L406" s="5" t="s">
        <v>430</v>
      </c>
    </row>
    <row r="407" spans="12:12" x14ac:dyDescent="0.25">
      <c r="L407" t="s">
        <v>431</v>
      </c>
    </row>
    <row r="408" spans="12:12" x14ac:dyDescent="0.25">
      <c r="L408" s="5" t="s">
        <v>432</v>
      </c>
    </row>
    <row r="409" spans="12:12" x14ac:dyDescent="0.25">
      <c r="L409" s="5"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s="5" t="s">
        <v>438</v>
      </c>
    </row>
    <row r="415" spans="12:12" x14ac:dyDescent="0.25">
      <c r="L415" t="s">
        <v>439</v>
      </c>
    </row>
    <row r="416" spans="12:12" x14ac:dyDescent="0.25">
      <c r="L416" t="s">
        <v>440</v>
      </c>
    </row>
    <row r="417" spans="12:12" x14ac:dyDescent="0.25">
      <c r="L417" s="5"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s="5" t="s">
        <v>449</v>
      </c>
    </row>
    <row r="426" spans="12:12" x14ac:dyDescent="0.25">
      <c r="L426" s="5" t="s">
        <v>450</v>
      </c>
    </row>
    <row r="427" spans="12:12" x14ac:dyDescent="0.25">
      <c r="L427" s="5" t="s">
        <v>451</v>
      </c>
    </row>
    <row r="428" spans="12:12" x14ac:dyDescent="0.25">
      <c r="L428" s="5" t="s">
        <v>452</v>
      </c>
    </row>
    <row r="429" spans="12:12" x14ac:dyDescent="0.25">
      <c r="L429" s="5" t="s">
        <v>453</v>
      </c>
    </row>
    <row r="430" spans="12:12" x14ac:dyDescent="0.25">
      <c r="L430" s="5" t="s">
        <v>454</v>
      </c>
    </row>
    <row r="431" spans="12:12" x14ac:dyDescent="0.25">
      <c r="L431" s="5" t="s">
        <v>598</v>
      </c>
    </row>
    <row r="432" spans="12:12" x14ac:dyDescent="0.25">
      <c r="L432" s="5"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s="5" t="s">
        <v>467</v>
      </c>
    </row>
    <row r="445" spans="12:12" x14ac:dyDescent="0.25">
      <c r="L445" s="5" t="s">
        <v>468</v>
      </c>
    </row>
    <row r="446" spans="12:12" x14ac:dyDescent="0.25">
      <c r="L446" s="5" t="s">
        <v>599</v>
      </c>
    </row>
    <row r="447" spans="12:12" x14ac:dyDescent="0.25">
      <c r="L447" s="5"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s="5" t="s">
        <v>474</v>
      </c>
    </row>
    <row r="453" spans="12:12" x14ac:dyDescent="0.25">
      <c r="L453" s="5"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s="5" t="s">
        <v>488</v>
      </c>
    </row>
    <row r="467" spans="12:12" x14ac:dyDescent="0.25">
      <c r="L467" s="5"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s="5" t="s">
        <v>494</v>
      </c>
    </row>
    <row r="474" spans="12:12" x14ac:dyDescent="0.25">
      <c r="L474" s="5" t="s">
        <v>495</v>
      </c>
    </row>
    <row r="475" spans="12:12" x14ac:dyDescent="0.25">
      <c r="L475" s="5" t="s">
        <v>496</v>
      </c>
    </row>
    <row r="476" spans="12:12" x14ac:dyDescent="0.25">
      <c r="L476" s="5"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s="5" t="s">
        <v>506</v>
      </c>
    </row>
    <row r="487" spans="12:12" x14ac:dyDescent="0.25">
      <c r="L487" t="s">
        <v>507</v>
      </c>
    </row>
    <row r="488" spans="12:12" x14ac:dyDescent="0.25">
      <c r="L488" s="5" t="s">
        <v>508</v>
      </c>
    </row>
    <row r="489" spans="12:12" x14ac:dyDescent="0.25">
      <c r="L489" s="5" t="s">
        <v>509</v>
      </c>
    </row>
    <row r="490" spans="12:12" x14ac:dyDescent="0.25">
      <c r="L490" t="s">
        <v>510</v>
      </c>
    </row>
    <row r="491" spans="12:12" x14ac:dyDescent="0.25">
      <c r="L491" t="s">
        <v>511</v>
      </c>
    </row>
    <row r="492" spans="12:12" x14ac:dyDescent="0.25">
      <c r="L492" s="5" t="s">
        <v>512</v>
      </c>
    </row>
    <row r="493" spans="12:12" x14ac:dyDescent="0.25">
      <c r="L493" t="s">
        <v>513</v>
      </c>
    </row>
    <row r="494" spans="12:12" x14ac:dyDescent="0.25">
      <c r="L494" s="5" t="s">
        <v>514</v>
      </c>
    </row>
    <row r="495" spans="12:12" x14ac:dyDescent="0.25">
      <c r="L495" t="s">
        <v>515</v>
      </c>
    </row>
    <row r="496" spans="12:12" x14ac:dyDescent="0.25">
      <c r="L496" s="5" t="s">
        <v>516</v>
      </c>
    </row>
    <row r="497" spans="12:12" x14ac:dyDescent="0.25">
      <c r="L497" t="s">
        <v>517</v>
      </c>
    </row>
    <row r="498" spans="12:12" x14ac:dyDescent="0.25">
      <c r="L498" t="s">
        <v>602</v>
      </c>
    </row>
    <row r="499" spans="12:12" x14ac:dyDescent="0.25">
      <c r="L499" s="5" t="s">
        <v>518</v>
      </c>
    </row>
    <row r="500" spans="12:12" x14ac:dyDescent="0.25">
      <c r="L500" t="s">
        <v>519</v>
      </c>
    </row>
    <row r="501" spans="12:12" x14ac:dyDescent="0.25">
      <c r="L501" t="s">
        <v>520</v>
      </c>
    </row>
    <row r="502" spans="12:12" x14ac:dyDescent="0.25">
      <c r="L502" s="5" t="s">
        <v>521</v>
      </c>
    </row>
    <row r="503" spans="12:12" x14ac:dyDescent="0.25">
      <c r="L503" s="5"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s="5" t="s">
        <v>528</v>
      </c>
    </row>
    <row r="510" spans="12:12" x14ac:dyDescent="0.25">
      <c r="L510" t="s">
        <v>529</v>
      </c>
    </row>
    <row r="511" spans="12:12" x14ac:dyDescent="0.25">
      <c r="L511" t="s">
        <v>530</v>
      </c>
    </row>
    <row r="512" spans="12:12" x14ac:dyDescent="0.25">
      <c r="L512" s="5"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s="5" t="s">
        <v>537</v>
      </c>
    </row>
    <row r="519" spans="12:12" x14ac:dyDescent="0.25">
      <c r="L519" s="5" t="s">
        <v>537</v>
      </c>
    </row>
    <row r="520" spans="12:12" x14ac:dyDescent="0.25">
      <c r="L520" t="s">
        <v>538</v>
      </c>
    </row>
    <row r="521" spans="12:12" x14ac:dyDescent="0.25">
      <c r="L521" t="s">
        <v>539</v>
      </c>
    </row>
    <row r="522" spans="12:12" x14ac:dyDescent="0.25">
      <c r="L522" s="5" t="s">
        <v>540</v>
      </c>
    </row>
    <row r="523" spans="12:12" x14ac:dyDescent="0.25">
      <c r="L523" s="5"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s="5" t="s">
        <v>549</v>
      </c>
    </row>
    <row r="532" spans="12:12" x14ac:dyDescent="0.25">
      <c r="L532" s="5" t="s">
        <v>550</v>
      </c>
    </row>
    <row r="533" spans="12:12" x14ac:dyDescent="0.25">
      <c r="L533" s="5" t="s">
        <v>551</v>
      </c>
    </row>
    <row r="534" spans="12:12" x14ac:dyDescent="0.25">
      <c r="L534" t="s">
        <v>552</v>
      </c>
    </row>
    <row r="535" spans="12:12" x14ac:dyDescent="0.25">
      <c r="L535" t="s">
        <v>553</v>
      </c>
    </row>
    <row r="536" spans="12:12" x14ac:dyDescent="0.25">
      <c r="L536" s="5" t="s">
        <v>554</v>
      </c>
    </row>
    <row r="537" spans="12:12" x14ac:dyDescent="0.25">
      <c r="L537" s="5" t="s">
        <v>555</v>
      </c>
    </row>
    <row r="538" spans="12:12" x14ac:dyDescent="0.25">
      <c r="L538" s="5" t="s">
        <v>556</v>
      </c>
    </row>
    <row r="539" spans="12:12" x14ac:dyDescent="0.25">
      <c r="L539" s="5"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AD8004"/>
  <sheetViews>
    <sheetView topLeftCell="P1" zoomScale="96" zoomScaleNormal="96" workbookViewId="0">
      <pane ySplit="4" topLeftCell="A5" activePane="bottomLeft" state="frozen"/>
      <selection pane="bottomLeft" activeCell="A2" sqref="A2:AD2"/>
    </sheetView>
  </sheetViews>
  <sheetFormatPr defaultRowHeight="15" x14ac:dyDescent="0.25"/>
  <cols>
    <col min="1" max="1" width="14.7109375" customWidth="1"/>
    <col min="2" max="2" width="14.7109375" style="25" customWidth="1"/>
    <col min="3" max="9" width="14.7109375" customWidth="1"/>
    <col min="10" max="10" width="26.28515625" customWidth="1"/>
    <col min="11" max="11" width="32.42578125" customWidth="1"/>
    <col min="12" max="12" width="30.85546875" customWidth="1"/>
    <col min="13" max="15" width="14.7109375" customWidth="1"/>
    <col min="16" max="16" width="14.7109375" style="25" customWidth="1"/>
    <col min="17" max="17" width="14.7109375" style="16"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242" t="s">
        <v>748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row>
    <row r="2" spans="1:30" ht="78.599999999999994" customHeight="1" x14ac:dyDescent="0.25">
      <c r="A2" s="243" t="s">
        <v>747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row>
    <row r="3" spans="1:30" ht="26.25" x14ac:dyDescent="0.25">
      <c r="A3" s="241" t="s">
        <v>681</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t="s">
        <v>757</v>
      </c>
      <c r="B5" s="34">
        <v>44447</v>
      </c>
      <c r="C5" s="33">
        <v>1856</v>
      </c>
      <c r="D5" s="33" t="s">
        <v>758</v>
      </c>
      <c r="E5" s="33" t="s">
        <v>759</v>
      </c>
      <c r="F5" s="33" t="s">
        <v>27</v>
      </c>
      <c r="G5" s="33" t="s">
        <v>758</v>
      </c>
      <c r="H5" s="33" t="s">
        <v>759</v>
      </c>
      <c r="I5" s="8">
        <v>2</v>
      </c>
      <c r="J5" s="33" t="s">
        <v>657</v>
      </c>
      <c r="K5" s="33"/>
      <c r="L5" s="33"/>
      <c r="M5" s="35"/>
      <c r="N5" s="33"/>
      <c r="O5" s="35"/>
      <c r="P5" s="34">
        <v>44575</v>
      </c>
      <c r="Q5" s="39">
        <f t="shared" ref="Q5:Q12" ca="1" si="0">IF(B5&gt;1/1/1900, (IF(R5="Closed",(DATEDIF(B5,P5,"d"))-(DATEDIF(M5,O5,"d")),IF(OR(R5="Pending",ISBLANK(P5)),TODAY()-B5))),"-")</f>
        <v>128</v>
      </c>
      <c r="R5" s="33" t="s">
        <v>21</v>
      </c>
      <c r="S5" s="33"/>
      <c r="T5" s="33" t="s">
        <v>24</v>
      </c>
      <c r="U5" s="8">
        <v>1</v>
      </c>
      <c r="V5" s="33" t="s">
        <v>657</v>
      </c>
      <c r="W5" s="8"/>
      <c r="X5" s="8"/>
      <c r="Y5" s="8"/>
      <c r="Z5" s="33" t="s">
        <v>664</v>
      </c>
      <c r="AA5" s="33"/>
      <c r="AB5" s="8" t="s">
        <v>629</v>
      </c>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ref="Q13:Q69" ca="1" si="1">IF(B13&gt;1/1/1900, (IF(R13="Closed",(DATEDIF(B13,P13,"d"))-(DATEDIF(M13,O13,"d")),IF(OR(R13="Pending",ISBLANK(P13)),TODAY()-B13))),"-")</f>
        <v>-</v>
      </c>
      <c r="R13" s="8"/>
      <c r="S13" s="8"/>
      <c r="T13" s="8"/>
      <c r="U13" s="8"/>
      <c r="V13" s="8"/>
      <c r="W13" s="8" t="str">
        <f t="shared" ref="W13:W68" si="2">IF(OR(ISBLANK(J13),ISBLANK(V13)),"-",(IF(J13=V13,"Yes","No")))</f>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1"/>
        <v>-</v>
      </c>
      <c r="R14" s="9"/>
      <c r="S14" s="9"/>
      <c r="T14" s="9"/>
      <c r="U14" s="9"/>
      <c r="V14" s="9"/>
      <c r="W14" s="9" t="str">
        <f t="shared" si="2"/>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1"/>
        <v>-</v>
      </c>
      <c r="R15" s="8"/>
      <c r="S15" s="8"/>
      <c r="T15" s="8"/>
      <c r="U15" s="8"/>
      <c r="V15" s="8"/>
      <c r="W15" s="8" t="str">
        <f t="shared" si="2"/>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1"/>
        <v>-</v>
      </c>
      <c r="R16" s="9"/>
      <c r="S16" s="9"/>
      <c r="T16" s="9"/>
      <c r="U16" s="9"/>
      <c r="V16" s="9"/>
      <c r="W16" s="9" t="str">
        <f t="shared" si="2"/>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5:AB8004">
    <cfRule type="expression" dxfId="27" priority="17">
      <formula>V5=""</formula>
    </cfRule>
  </conditionalFormatting>
  <conditionalFormatting sqref="C5:C8004">
    <cfRule type="containsText" dxfId="26" priority="7" operator="containsText" text="various">
      <formula>NOT(ISERROR(SEARCH("various",C5)))</formula>
    </cfRule>
    <cfRule type="containsText" dxfId="25" priority="8" operator="containsText" text="Various">
      <formula>NOT(ISERROR(SEARCH("Various",C5)))</formula>
    </cfRule>
    <cfRule type="containsText" dxfId="24" priority="9" operator="containsText" text="Multiple">
      <formula>NOT(ISERROR(SEARCH("Multiple",C5)))</formula>
    </cfRule>
    <cfRule type="containsText" dxfId="23" priority="10" operator="containsText" text="&quot;multiple&quot;">
      <formula>NOT(ISERROR(SEARCH("""multiple""",C5)))</formula>
    </cfRule>
  </conditionalFormatting>
  <conditionalFormatting sqref="K5:K8004">
    <cfRule type="expression" dxfId="22" priority="6">
      <formula>J5&lt;&gt;"Criminal violation"</formula>
    </cfRule>
  </conditionalFormatting>
  <conditionalFormatting sqref="L5:L8004">
    <cfRule type="expression" dxfId="21" priority="5">
      <formula>J5&lt;&gt;"Other rule violation"</formula>
    </cfRule>
  </conditionalFormatting>
  <conditionalFormatting sqref="AB5:AB8004">
    <cfRule type="expression" dxfId="20" priority="29">
      <formula>W5="Pending"</formula>
    </cfRule>
    <cfRule type="expression" dxfId="19" priority="30">
      <formula>W5=""</formula>
    </cfRule>
  </conditionalFormatting>
  <conditionalFormatting sqref="X5:X8004">
    <cfRule type="expression" dxfId="18" priority="25">
      <formula>V5&lt;&gt;"Criminal violation"</formula>
    </cfRule>
  </conditionalFormatting>
  <conditionalFormatting sqref="S5:AB8004">
    <cfRule type="expression" dxfId="17" priority="1">
      <formula>$R5&lt;&gt;"Closed"</formula>
    </cfRule>
  </conditionalFormatting>
  <conditionalFormatting sqref="U5:AB8004">
    <cfRule type="expression" dxfId="16" priority="2">
      <formula>NOT(OR($S5="Conviction", $T5="Sustained"))</formula>
    </cfRule>
  </conditionalFormatting>
  <conditionalFormatting sqref="Y5:Y8004">
    <cfRule type="expression" dxfId="15" priority="4">
      <formula>V5&lt;&gt;"Other rule violation"</formula>
    </cfRule>
  </conditionalFormatting>
  <conditionalFormatting sqref="AA5:AA8004">
    <cfRule type="expression" dxfId="14" priority="3">
      <formula>NOT(OR(Z5="Monetary fine or loss of pay", Z5="Suspension without pay", Z5="Loss of time"))</formula>
    </cfRule>
  </conditionalFormatting>
  <dataValidations count="17">
    <dataValidation type="list" allowBlank="1" showInputMessage="1" showErrorMessage="1" prompt="Select from list. " sqref="N5:N8004">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formula1>Disciplines</formula1>
    </dataValidation>
    <dataValidation type="date" allowBlank="1" showInputMessage="1" showErrorMessage="1" error="Date Complaint Closed must occur after 1/1/2020 and before 12/31/2100._x000a_" prompt="Enter date between 1/1/2020 and 12/31/2100" sqref="P5:P8004">
      <formula1>43831</formula1>
      <formula2>73415</formula2>
    </dataValidation>
    <dataValidation type="list" allowBlank="1" showInputMessage="1" showErrorMessage="1" prompt="Select from list." sqref="D5:D8004">
      <formula1>"White, Black, Asian, Am. Indian, Native Hawaiian/Pacific Islander, Two or More Races, Other, Unknown"</formula1>
    </dataValidation>
    <dataValidation type="list" allowBlank="1" showInputMessage="1" showErrorMessage="1" prompt="Select from list." sqref="H5:H8004 E5:E8004">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formula1>0</formula1>
      <formula2>99999999999</formula2>
    </dataValidation>
    <dataValidation type="whole" operator="greaterThan" allowBlank="1" showInputMessage="1" showErrorMessage="1" prompt="Select from list." sqref="I5:I8004">
      <formula1>0</formula1>
    </dataValidation>
    <dataValidation type="list" allowBlank="1" showInputMessage="1" showErrorMessage="1" prompt="Select from list." sqref="G5:G8004">
      <formula1>"White, Black, Asian, Am. Indian, Native Hawaiian/Pacific Islander,Two or More Races, Other, Unknown"</formula1>
    </dataValidation>
    <dataValidation allowBlank="1" showInputMessage="1" showErrorMessage="1" prompt="One officer per row!_x000a_" sqref="C5:C8004"/>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formula1>Allegations</formula1>
    </dataValidation>
    <dataValidation type="list" allowBlank="1" showInputMessage="1" showErrorMessage="1" error="Choose one of the allegation types in the drop down_x000a_" prompt="Select from list. " sqref="V5:V8004">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formula1>RuleViolations</formula1>
    </dataValidation>
    <dataValidation type="decimal" operator="greaterThan" allowBlank="1" showInputMessage="1" showErrorMessage="1" prompt="Enter number of hours docked or dollars fined." sqref="AA5:AA8004">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formula1>RuleViolations</formula1>
    </dataValidation>
    <dataValidation allowBlank="1" showInputMessage="1" showErrorMessage="1" prompt="This is a calculated field; please do not enter data." sqref="Q5:Q7984"/>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T5:T8004</xm:sqref>
        </x14:dataValidation>
        <x14:dataValidation type="list" allowBlank="1" showInputMessage="1" showErrorMessage="1" error="Only values of &quot;Agency,&quot; &quot;Civilian,&quot; or &quot;Anonymous&quot; are permitted. " prompt="Select from list.">
          <x14:formula1>
            <xm:f>'Data validation'!$H$1:$H$3</xm:f>
          </x14:formula1>
          <xm:sqref>F5:F8004</xm:sqref>
        </x14:dataValidation>
        <x14:dataValidation type="list" allowBlank="1" showInputMessage="1" showErrorMessage="1" prompt="Select from list.">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D8004"/>
  <sheetViews>
    <sheetView topLeftCell="O1" zoomScale="96" zoomScaleNormal="96" workbookViewId="0">
      <pane ySplit="4" topLeftCell="A5" activePane="bottomLeft" state="frozen"/>
      <selection pane="bottomLeft" sqref="A1:AD1"/>
    </sheetView>
  </sheetViews>
  <sheetFormatPr defaultRowHeight="15" x14ac:dyDescent="0.25"/>
  <cols>
    <col min="1" max="1" width="14.7109375" customWidth="1"/>
    <col min="2" max="2" width="14.7109375" style="25" customWidth="1"/>
    <col min="3" max="9" width="14.7109375" customWidth="1"/>
    <col min="10" max="10" width="21.28515625" customWidth="1"/>
    <col min="11" max="11" width="26" customWidth="1"/>
    <col min="12" max="12" width="30.28515625" customWidth="1"/>
    <col min="13" max="15" width="14.7109375" customWidth="1"/>
    <col min="16" max="16" width="14.7109375" style="25" customWidth="1"/>
    <col min="17" max="17" width="14.7109375" style="16"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242" t="s">
        <v>748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row>
    <row r="2" spans="1:30" ht="73.150000000000006" customHeight="1" x14ac:dyDescent="0.25">
      <c r="A2" s="243" t="s">
        <v>747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row>
    <row r="3" spans="1:30" ht="26.25" x14ac:dyDescent="0.25">
      <c r="A3" s="241" t="s">
        <v>682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t="s">
        <v>760</v>
      </c>
      <c r="B5" s="34">
        <v>44750</v>
      </c>
      <c r="C5" s="33">
        <v>1808</v>
      </c>
      <c r="D5" s="33" t="s">
        <v>758</v>
      </c>
      <c r="E5" s="33" t="s">
        <v>759</v>
      </c>
      <c r="F5" s="33" t="s">
        <v>28</v>
      </c>
      <c r="G5" s="33" t="s">
        <v>758</v>
      </c>
      <c r="H5" s="33" t="s">
        <v>759</v>
      </c>
      <c r="I5" s="8">
        <v>1</v>
      </c>
      <c r="J5" s="33" t="s">
        <v>657</v>
      </c>
      <c r="K5" s="33"/>
      <c r="L5" s="33" t="s">
        <v>680</v>
      </c>
      <c r="M5" s="35"/>
      <c r="N5" s="33"/>
      <c r="O5" s="35"/>
      <c r="P5" s="34">
        <v>44816</v>
      </c>
      <c r="Q5" s="39">
        <f t="shared" ref="Q5:Q15" ca="1" si="0">IF(B5&gt;1/1/1900, (IF(R5="Closed",(DATEDIF(B5,P5,"d"))-(DATEDIF(M5,O5,"d")),IF(OR(R5="Pending",ISBLANK(P5)),TODAY()-B5))),"-")</f>
        <v>189</v>
      </c>
      <c r="R5" s="33" t="s">
        <v>20</v>
      </c>
      <c r="S5" s="33"/>
      <c r="T5" s="33" t="s">
        <v>24</v>
      </c>
      <c r="U5" s="8">
        <v>1</v>
      </c>
      <c r="V5" s="33" t="s">
        <v>657</v>
      </c>
      <c r="W5" s="8"/>
      <c r="X5" s="8"/>
      <c r="Y5" s="8" t="s">
        <v>680</v>
      </c>
      <c r="Z5" s="33" t="s">
        <v>664</v>
      </c>
      <c r="AA5" s="33"/>
      <c r="AB5" s="8"/>
      <c r="AC5" s="33"/>
    </row>
    <row r="6" spans="1:30" x14ac:dyDescent="0.25">
      <c r="A6" s="9" t="s">
        <v>764</v>
      </c>
      <c r="B6" s="14">
        <v>44888</v>
      </c>
      <c r="C6" s="9">
        <v>1855</v>
      </c>
      <c r="D6" s="9" t="s">
        <v>758</v>
      </c>
      <c r="E6" s="9" t="s">
        <v>759</v>
      </c>
      <c r="F6" s="9" t="s">
        <v>27</v>
      </c>
      <c r="G6" s="9" t="s">
        <v>765</v>
      </c>
      <c r="H6" s="9" t="s">
        <v>759</v>
      </c>
      <c r="I6" s="9">
        <v>1</v>
      </c>
      <c r="J6" s="9" t="s">
        <v>651</v>
      </c>
      <c r="K6" s="9"/>
      <c r="L6" s="9" t="s">
        <v>680</v>
      </c>
      <c r="M6" s="31"/>
      <c r="N6" s="9"/>
      <c r="O6" s="31"/>
      <c r="P6" s="14">
        <v>44909</v>
      </c>
      <c r="Q6" s="27">
        <f t="shared" ca="1" si="0"/>
        <v>51</v>
      </c>
      <c r="R6" s="9" t="s">
        <v>20</v>
      </c>
      <c r="S6" s="9"/>
      <c r="T6" s="9" t="s">
        <v>17</v>
      </c>
      <c r="U6" s="9"/>
      <c r="V6" s="9" t="s">
        <v>651</v>
      </c>
      <c r="W6" s="9"/>
      <c r="X6" s="9"/>
      <c r="Y6" s="9"/>
      <c r="Z6" s="9" t="s">
        <v>671</v>
      </c>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0"/>
        <v>-</v>
      </c>
      <c r="R13" s="8"/>
      <c r="S13" s="8"/>
      <c r="T13" s="8"/>
      <c r="U13" s="8"/>
      <c r="V13" s="8"/>
      <c r="W13" s="8"/>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0"/>
        <v>-</v>
      </c>
      <c r="R14" s="9"/>
      <c r="S14" s="9"/>
      <c r="T14" s="9"/>
      <c r="U14" s="9"/>
      <c r="V14" s="9"/>
      <c r="W14" s="9"/>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0"/>
        <v>-</v>
      </c>
      <c r="R15" s="8"/>
      <c r="S15" s="8"/>
      <c r="T15" s="8"/>
      <c r="U15" s="8"/>
      <c r="V15" s="8"/>
      <c r="W15" s="8"/>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ref="Q16:Q69" ca="1" si="1">IF(B16&gt;1/1/1900, (IF(R16="Closed",(DATEDIF(B16,P16,"d"))-(DATEDIF(M16,O16,"d")),IF(OR(R16="Pending",ISBLANK(P16)),TODAY()-B16))),"-")</f>
        <v>-</v>
      </c>
      <c r="R16" s="9"/>
      <c r="S16" s="9"/>
      <c r="T16" s="9"/>
      <c r="U16" s="9"/>
      <c r="V16" s="9"/>
      <c r="W16" s="9" t="str">
        <f t="shared" ref="W16:W68" si="2">IF(OR(ISBLANK(J16),ISBLANK(V16)),"-",(IF(J16=V16,"Yes","No")))</f>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5:AB8004">
    <cfRule type="expression" dxfId="13" priority="11">
      <formula>V5=""</formula>
    </cfRule>
  </conditionalFormatting>
  <conditionalFormatting sqref="C5:C8004">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5:K8004">
    <cfRule type="expression" dxfId="8" priority="6">
      <formula>J5&lt;&gt;"Criminal violation"</formula>
    </cfRule>
  </conditionalFormatting>
  <conditionalFormatting sqref="L5:L8004">
    <cfRule type="expression" dxfId="7" priority="5">
      <formula>J5&lt;&gt;"Other rule violation"</formula>
    </cfRule>
  </conditionalFormatting>
  <conditionalFormatting sqref="AB5:AB8004">
    <cfRule type="expression" dxfId="6" priority="13">
      <formula>W5="Pending"</formula>
    </cfRule>
    <cfRule type="expression" dxfId="5" priority="14">
      <formula>W5=""</formula>
    </cfRule>
  </conditionalFormatting>
  <conditionalFormatting sqref="X5:X8004">
    <cfRule type="expression" dxfId="4" priority="12">
      <formula>V5&lt;&gt;"Criminal violation"</formula>
    </cfRule>
  </conditionalFormatting>
  <conditionalFormatting sqref="S5:AB8004">
    <cfRule type="expression" dxfId="3" priority="1">
      <formula>$R5&lt;&gt;"Closed"</formula>
    </cfRule>
  </conditionalFormatting>
  <conditionalFormatting sqref="U5:AB8004">
    <cfRule type="expression" dxfId="2" priority="2">
      <formula>NOT(OR($S5="Conviction", $T5="Sustained"))</formula>
    </cfRule>
  </conditionalFormatting>
  <conditionalFormatting sqref="Y5:Y8004">
    <cfRule type="expression" dxfId="1" priority="4">
      <formula>V5&lt;&gt;"Other rule violation"</formula>
    </cfRule>
  </conditionalFormatting>
  <conditionalFormatting sqref="AA5:AA8004">
    <cfRule type="expression" dxfId="0" priority="3">
      <formula>NOT(OR(Z5="Monetary fine or loss of pay", Z5="Suspension without pay", Z5="Loss of time"))</formula>
    </cfRule>
  </conditionalFormatting>
  <dataValidations xWindow="374" yWindow="581"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formula1>CriminalViolations</formula1>
    </dataValidation>
    <dataValidation allowBlank="1" showInputMessage="1" showErrorMessage="1" prompt="This is a calculated field; please do not enter data." sqref="Q5:Q7984"/>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formula1>RuleViolations</formula1>
    </dataValidation>
    <dataValidation type="decimal" operator="greaterThan" allowBlank="1" showInputMessage="1" showErrorMessage="1" prompt="Enter number of hours docked or dollars fined." sqref="AA5:AA8004">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formula1>CriminalViolations</formula1>
    </dataValidation>
    <dataValidation type="list" allowBlank="1" showInputMessage="1" showErrorMessage="1" error="Choose one of the allegation types in the drop down_x000a_" prompt="Select from list. " sqref="V5:V8004">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formula1>Allegations</formula1>
    </dataValidation>
    <dataValidation allowBlank="1" showInputMessage="1" showErrorMessage="1" prompt="One officer per row!_x000a_" sqref="C5:C8004"/>
    <dataValidation type="list" allowBlank="1" showInputMessage="1" showErrorMessage="1" prompt="Select from list." sqref="G5:G8004">
      <formula1>"White, Black, Asian, Am. Indian, Native Hawaiian/Pacific Islander,Two or More Races, Other, Unknown"</formula1>
    </dataValidation>
    <dataValidation type="whole" operator="greaterThan" allowBlank="1" showInputMessage="1" showErrorMessage="1" prompt="Select from list." sqref="I5:I8004">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formula1>0</formula1>
      <formula2>99999999999</formula2>
    </dataValidation>
    <dataValidation type="list" allowBlank="1" showInputMessage="1" showErrorMessage="1" prompt="Select from list." sqref="H5:H8004 E5:E8004">
      <formula1>"Hispanic or Latino, Not Hispanic or Latino"</formula1>
    </dataValidation>
    <dataValidation type="list" allowBlank="1" showInputMessage="1" showErrorMessage="1" prompt="Select from list." sqref="D5:D8004">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formula1>43831</formula1>
      <formula2>73415</formula2>
    </dataValidation>
    <dataValidation type="list" allowBlank="1" showInputMessage="1" showErrorMessage="1" prompt="&quot;Discharge from employment&quot; includes dismissal, separation, resignation, retirement, or termination from the agency." sqref="Z5:Z8004">
      <formula1>Disciplines</formula1>
    </dataValidation>
    <dataValidation type="list" allowBlank="1" showInputMessage="1" showErrorMessage="1" prompt="Select from list. " sqref="N5:N8004">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xWindow="374" yWindow="581" count="5">
        <x14:dataValidation type="list" allowBlank="1" showInputMessage="1" showErrorMessage="1" prompt="Select from list.">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S5:S8004</xm:sqref>
        </x14:dataValidation>
        <x14:dataValidation type="list" allowBlank="1" showInputMessage="1" showErrorMessage="1" error="Enter the case as either &quot;Pending&quot; or &quot;Closed&quot;" prompt="Select from list.">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79998168889431442"/>
    <pageSetUpPr fitToPage="1"/>
  </sheetPr>
  <dimension ref="A2:AE307"/>
  <sheetViews>
    <sheetView view="pageBreakPreview" topLeftCell="A15" zoomScale="78" zoomScaleNormal="100" zoomScaleSheetLayoutView="78" zoomScalePageLayoutView="60" workbookViewId="0">
      <selection activeCell="F11" sqref="F1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743</v>
      </c>
      <c r="C8" s="292" t="str">
        <f>$B$8&amp;" Internal Affairs Summary"</f>
        <v>Q1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44562</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44651</v>
      </c>
      <c r="C10" s="347" t="str">
        <f>"Internal Affairs: "&amp;$B$8&amp;" Snapshot"</f>
        <v>Internal Affairs: Q1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Q1.</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f t="shared" si="0"/>
        <v>0</v>
      </c>
      <c r="G17" s="274"/>
      <c r="H17" s="303">
        <f t="shared" si="1"/>
        <v>0</v>
      </c>
      <c r="I17" s="303"/>
      <c r="J17" s="303">
        <f t="shared" si="2"/>
        <v>0</v>
      </c>
      <c r="K17" s="303"/>
      <c r="L17" s="303">
        <f t="shared" si="3"/>
        <v>0</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1</v>
      </c>
      <c r="G24" s="272"/>
      <c r="H24" s="301">
        <f t="shared" si="1"/>
        <v>0</v>
      </c>
      <c r="I24" s="301"/>
      <c r="J24" s="301">
        <f t="shared" si="2"/>
        <v>0</v>
      </c>
      <c r="K24" s="301"/>
      <c r="L24" s="301">
        <f t="shared" si="3"/>
        <v>0</v>
      </c>
      <c r="M24" s="301"/>
    </row>
    <row r="25" spans="3:16" ht="18.75" x14ac:dyDescent="0.3">
      <c r="C25" s="132"/>
      <c r="D25" s="132"/>
      <c r="E25" s="165" t="s">
        <v>615</v>
      </c>
      <c r="F25" s="308">
        <f>SUM(F16:F24)</f>
        <v>1</v>
      </c>
      <c r="G25" s="309"/>
      <c r="H25" s="310">
        <f t="shared" ref="H25" si="4">SUM(H16:H24)</f>
        <v>0</v>
      </c>
      <c r="I25" s="310"/>
      <c r="J25" s="310">
        <f>SUM(J16:J24)</f>
        <v>0</v>
      </c>
      <c r="K25" s="310"/>
      <c r="L25" s="310">
        <f>SUM(L16:L24)</f>
        <v>0</v>
      </c>
      <c r="M25" s="310"/>
    </row>
    <row r="28" spans="3:16" ht="21" x14ac:dyDescent="0.35">
      <c r="F28" s="293" t="str">
        <f>"Distribution of sources for complaints closed in "&amp;$B$8</f>
        <v>Distribution of sources for complaints closed in Q1</v>
      </c>
      <c r="G28" s="293"/>
      <c r="H28" s="293"/>
      <c r="I28" s="293"/>
      <c r="J28" s="293"/>
      <c r="K28" s="293"/>
      <c r="L28" s="185"/>
      <c r="M28" s="184"/>
      <c r="N28" s="184"/>
      <c r="O28" s="184"/>
      <c r="P28" s="184"/>
    </row>
    <row r="29" spans="3:16" ht="18.75" x14ac:dyDescent="0.3">
      <c r="F29" s="180"/>
      <c r="G29" s="180"/>
      <c r="H29" s="180"/>
      <c r="I29" s="180"/>
      <c r="J29" s="180"/>
      <c r="K29" s="180"/>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0</v>
      </c>
      <c r="I31" s="298"/>
      <c r="J31" s="297">
        <f>COUNTIFS(PendingComplaintSource, J30, PendingCloseDate,"&gt;="&amp;$B$9,PendingCloseDate,"&lt;="&amp;$B$10) + COUNTIFS(OpenedComplaintSource, J30, OpenedCloseDate,"&gt;="&amp;$B$9,OpenedCloseDate,"&lt;="&amp;$B$10)</f>
        <v>1</v>
      </c>
      <c r="K31" s="299"/>
      <c r="L31" s="184"/>
      <c r="M31" s="184"/>
      <c r="N31" s="184"/>
      <c r="O31" s="184"/>
      <c r="P31" s="184"/>
    </row>
    <row r="32" spans="3:16" ht="18.75" x14ac:dyDescent="0.3">
      <c r="E32" s="228" t="s">
        <v>711</v>
      </c>
      <c r="F32" s="304">
        <f t="shared" ref="F32" si="5">IF(SUM($F31:$J31)=0, "", F31/SUM($F31:$J31))</f>
        <v>0</v>
      </c>
      <c r="G32" s="305"/>
      <c r="H32" s="306">
        <f t="shared" ref="H32" si="6">IF(SUM($F31:$J31)=0, "", H31/SUM($F31:$J31))</f>
        <v>0</v>
      </c>
      <c r="I32" s="306"/>
      <c r="J32" s="305">
        <f>IF(SUM($F31:$J31)=0, "", J31/SUM($F31:$J31))</f>
        <v>1</v>
      </c>
      <c r="K32" s="307"/>
    </row>
    <row r="33" spans="1:17" ht="15.75" thickBot="1" x14ac:dyDescent="0.3"/>
    <row r="34" spans="1:17" ht="36.75" customHeight="1" x14ac:dyDescent="0.3">
      <c r="C34" s="268" t="str">
        <f>"Frequency of discipline by type for complaints closed in "&amp;$B$8</f>
        <v>Frequency of discipline by type for complaints closed in Q1</v>
      </c>
      <c r="D34" s="268"/>
      <c r="E34" s="268"/>
      <c r="F34" s="268"/>
      <c r="G34" s="180"/>
      <c r="I34" s="252" t="str">
        <f>$B$8&amp;" Summary"</f>
        <v>Q1 Summary</v>
      </c>
      <c r="J34" s="252"/>
      <c r="K34" s="252"/>
      <c r="M34" s="283" t="s">
        <v>625</v>
      </c>
      <c r="N34" s="284"/>
      <c r="O34" s="284"/>
      <c r="P34" s="285"/>
    </row>
    <row r="35" spans="1:17" ht="18.75" customHeight="1" x14ac:dyDescent="0.3">
      <c r="B35" s="125"/>
      <c r="C35" s="125"/>
      <c r="D35" s="125"/>
      <c r="E35" s="181"/>
      <c r="F35" s="162" t="s">
        <v>663</v>
      </c>
      <c r="G35" s="181">
        <f t="shared" ref="G35:G44" si="7">COUNTIFS(PendingDiscipline,$F35,PendingCloseDate,"&gt;="&amp;$B$9,PendingCloseDate,"&lt;="&amp;$B$10) + COUNTIFS(OpenedDiscipline,$F35,OpenedCloseDate,"&gt;="&amp;$B$9,OpenedCloseDate,"&lt;="&amp;$B$10)</f>
        <v>0</v>
      </c>
      <c r="I35" s="277" t="s">
        <v>621</v>
      </c>
      <c r="J35" s="278"/>
      <c r="K35" s="281">
        <f>SUM($B$67:$D$67)</f>
        <v>1</v>
      </c>
      <c r="M35" s="286"/>
      <c r="N35" s="287"/>
      <c r="O35" s="287"/>
      <c r="P35" s="288"/>
    </row>
    <row r="36" spans="1:17" ht="18.75" x14ac:dyDescent="0.3">
      <c r="B36" s="117"/>
      <c r="C36" s="117"/>
      <c r="D36" s="117"/>
      <c r="E36" s="169"/>
      <c r="F36" s="163" t="s">
        <v>664</v>
      </c>
      <c r="G36" s="169">
        <f t="shared" si="7"/>
        <v>1</v>
      </c>
      <c r="I36" s="279"/>
      <c r="J36" s="280"/>
      <c r="K36" s="282"/>
      <c r="M36" s="286"/>
      <c r="N36" s="287"/>
      <c r="O36" s="287"/>
      <c r="P36" s="288"/>
    </row>
    <row r="37" spans="1:17" ht="18.75" customHeight="1" x14ac:dyDescent="0.3">
      <c r="E37" s="168"/>
      <c r="F37" s="164" t="s">
        <v>665</v>
      </c>
      <c r="G37" s="168">
        <f t="shared" si="7"/>
        <v>0</v>
      </c>
      <c r="I37" s="269" t="s">
        <v>643</v>
      </c>
      <c r="J37" s="270"/>
      <c r="K37" s="211">
        <f>SUM($E$67:$G$67)</f>
        <v>0</v>
      </c>
      <c r="M37" s="286"/>
      <c r="N37" s="287"/>
      <c r="O37" s="287"/>
      <c r="P37" s="288"/>
    </row>
    <row r="38" spans="1:17" ht="18.75" x14ac:dyDescent="0.3">
      <c r="B38" s="117"/>
      <c r="C38" s="117"/>
      <c r="D38" s="117"/>
      <c r="E38" s="169"/>
      <c r="F38" s="163" t="s">
        <v>666</v>
      </c>
      <c r="G38" s="169">
        <f t="shared" si="7"/>
        <v>0</v>
      </c>
      <c r="I38" s="271" t="s">
        <v>622</v>
      </c>
      <c r="J38" s="272"/>
      <c r="K38" s="212">
        <f>$B$82</f>
        <v>1</v>
      </c>
      <c r="M38" s="286"/>
      <c r="N38" s="287"/>
      <c r="O38" s="287"/>
      <c r="P38" s="288"/>
    </row>
    <row r="39" spans="1:17" ht="18.75" x14ac:dyDescent="0.3">
      <c r="E39" s="168"/>
      <c r="F39" s="164" t="s">
        <v>667</v>
      </c>
      <c r="G39" s="168">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1</v>
      </c>
      <c r="M39" s="286"/>
      <c r="N39" s="287"/>
      <c r="O39" s="287"/>
      <c r="P39" s="288"/>
    </row>
    <row r="40" spans="1:17" ht="18.75" x14ac:dyDescent="0.3">
      <c r="B40" s="117"/>
      <c r="C40" s="117"/>
      <c r="D40" s="117"/>
      <c r="E40" s="169"/>
      <c r="F40" s="163" t="s">
        <v>668</v>
      </c>
      <c r="G40" s="169">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168"/>
      <c r="F41" s="164" t="s">
        <v>693</v>
      </c>
      <c r="G41" s="168">
        <f t="shared" si="7"/>
        <v>0</v>
      </c>
      <c r="I41" s="273" t="s">
        <v>644</v>
      </c>
      <c r="J41" s="274"/>
      <c r="K41" s="211">
        <f ca="1">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169"/>
      <c r="F42" s="163" t="s">
        <v>669</v>
      </c>
      <c r="G42" s="169">
        <f t="shared" si="7"/>
        <v>0</v>
      </c>
      <c r="I42" s="279" t="str">
        <f>"Total Pending  at end of "&amp;$B$8</f>
        <v>Total Pending  at end of Q1</v>
      </c>
      <c r="J42" s="280"/>
      <c r="K42" s="282">
        <f>(SUM(K35:K37))-K38</f>
        <v>0</v>
      </c>
      <c r="M42" s="286"/>
      <c r="N42" s="287"/>
      <c r="O42" s="287"/>
      <c r="P42" s="288"/>
    </row>
    <row r="43" spans="1:17" ht="18.75" x14ac:dyDescent="0.3">
      <c r="E43" s="168"/>
      <c r="F43" s="164" t="s">
        <v>670</v>
      </c>
      <c r="G43" s="168">
        <f t="shared" si="7"/>
        <v>0</v>
      </c>
      <c r="I43" s="279"/>
      <c r="J43" s="280"/>
      <c r="K43" s="282"/>
      <c r="M43" s="286"/>
      <c r="N43" s="287"/>
      <c r="O43" s="287"/>
      <c r="P43" s="288"/>
    </row>
    <row r="44" spans="1:17" ht="19.5" thickBot="1" x14ac:dyDescent="0.35">
      <c r="B44" s="117"/>
      <c r="C44" s="117"/>
      <c r="D44" s="117"/>
      <c r="E44" s="169"/>
      <c r="F44" s="163" t="s">
        <v>671</v>
      </c>
      <c r="G44" s="169">
        <f t="shared" si="7"/>
        <v>0</v>
      </c>
      <c r="I44" s="125"/>
      <c r="J44" s="125"/>
      <c r="K44" s="125"/>
      <c r="M44" s="289"/>
      <c r="N44" s="290"/>
      <c r="O44" s="290"/>
      <c r="P44" s="291"/>
    </row>
    <row r="45" spans="1:17" ht="18.75" x14ac:dyDescent="0.3">
      <c r="B45" s="125"/>
      <c r="C45" s="125"/>
      <c r="D45" s="125"/>
      <c r="E45" s="125"/>
      <c r="F45" s="170" t="s">
        <v>615</v>
      </c>
      <c r="G45" s="171">
        <f>SUM(G35:G44)</f>
        <v>1</v>
      </c>
    </row>
    <row r="48" spans="1:17" x14ac:dyDescent="0.25">
      <c r="A48" s="1"/>
      <c r="K48" s="244" t="s">
        <v>33</v>
      </c>
      <c r="L48" s="244"/>
      <c r="M48" s="245" t="str">
        <f>'Start Here'!C$13</f>
        <v xml:space="preserve">Lower Alloways Creek Police </v>
      </c>
      <c r="N48" s="245"/>
      <c r="O48" s="245"/>
      <c r="P48" s="245"/>
      <c r="Q48" s="245"/>
    </row>
    <row r="49" spans="1:31" x14ac:dyDescent="0.25">
      <c r="A49" s="1"/>
      <c r="K49" s="244" t="s">
        <v>34</v>
      </c>
      <c r="L49" s="244"/>
      <c r="M49" s="225">
        <f>'Start Here'!$C$16</f>
        <v>2022</v>
      </c>
    </row>
    <row r="50" spans="1:31" x14ac:dyDescent="0.25">
      <c r="K50" s="101"/>
      <c r="L50" s="101"/>
      <c r="M50" s="2"/>
    </row>
    <row r="51" spans="1:31" ht="14.45" customHeight="1" x14ac:dyDescent="0.25">
      <c r="A51" s="142"/>
      <c r="B51" s="142"/>
      <c r="C51" s="142"/>
      <c r="D51" s="142"/>
      <c r="E51" s="142"/>
      <c r="F51" s="142"/>
      <c r="G51" s="142"/>
      <c r="H51" s="142"/>
      <c r="I51" s="142"/>
      <c r="J51" s="142"/>
      <c r="K51" s="142"/>
      <c r="L51" s="142"/>
      <c r="M51" s="142"/>
      <c r="N51" s="142"/>
      <c r="O51" s="142"/>
      <c r="P51" s="142"/>
      <c r="Q51" s="142"/>
    </row>
    <row r="52" spans="1:31" ht="14.45" customHeight="1" x14ac:dyDescent="0.25">
      <c r="A52" s="341" t="str">
        <f>$B$8&amp;": Cases Opened and Closed, All Allegations"</f>
        <v>Q1: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73" t="s">
        <v>713</v>
      </c>
      <c r="B57" s="10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6"/>
      <c r="O59" s="257"/>
      <c r="P59" s="258"/>
    </row>
    <row r="60" spans="1:31" x14ac:dyDescent="0.25">
      <c r="A60" s="157" t="s">
        <v>652</v>
      </c>
      <c r="B60" s="101">
        <f t="shared" si="8"/>
        <v>0</v>
      </c>
      <c r="C60" s="101">
        <f t="shared" si="8"/>
        <v>0</v>
      </c>
      <c r="D60" s="101">
        <f t="shared" si="8"/>
        <v>0</v>
      </c>
      <c r="E60" s="57">
        <f t="shared" si="9"/>
        <v>0</v>
      </c>
      <c r="F60" s="45">
        <f t="shared" si="9"/>
        <v>0</v>
      </c>
      <c r="G60" s="45">
        <f t="shared" si="9"/>
        <v>0</v>
      </c>
      <c r="H60" s="57" t="str">
        <f t="shared" si="10"/>
        <v/>
      </c>
      <c r="I60" s="45" t="str">
        <f t="shared" si="11"/>
        <v/>
      </c>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101">
        <f t="shared" si="8"/>
        <v>0</v>
      </c>
      <c r="C62" s="101">
        <f t="shared" si="8"/>
        <v>0</v>
      </c>
      <c r="D62" s="1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101">
        <f t="shared" si="8"/>
        <v>0</v>
      </c>
      <c r="C64" s="101">
        <f t="shared" si="8"/>
        <v>0</v>
      </c>
      <c r="D64" s="1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101">
        <f t="shared" si="8"/>
        <v>0</v>
      </c>
      <c r="C66" s="101">
        <f t="shared" si="8"/>
        <v>1</v>
      </c>
      <c r="D66" s="101">
        <f t="shared" si="8"/>
        <v>0</v>
      </c>
      <c r="E66" s="57">
        <f t="shared" si="9"/>
        <v>0</v>
      </c>
      <c r="F66" s="45">
        <f t="shared" si="9"/>
        <v>0</v>
      </c>
      <c r="G66" s="45">
        <f t="shared" si="9"/>
        <v>0</v>
      </c>
      <c r="H66" s="57" t="str">
        <f t="shared" si="10"/>
        <v/>
      </c>
      <c r="I66" s="45" t="str">
        <f t="shared" si="11"/>
        <v/>
      </c>
      <c r="J66" s="45" t="str">
        <f t="shared" si="12"/>
        <v/>
      </c>
      <c r="K66" s="54"/>
      <c r="L66" s="54"/>
      <c r="M66" s="54"/>
      <c r="N66" s="259"/>
      <c r="O66" s="260"/>
      <c r="P66" s="261"/>
    </row>
    <row r="67" spans="1:31" x14ac:dyDescent="0.25">
      <c r="A67" s="161" t="s">
        <v>615</v>
      </c>
      <c r="B67" s="64">
        <f>SUM(B58:B66)</f>
        <v>0</v>
      </c>
      <c r="C67" s="64">
        <f t="shared" ref="C67:D67" si="13">SUM(C58:C66)</f>
        <v>1</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07"/>
      <c r="L67" s="107"/>
      <c r="M67" s="107"/>
      <c r="N67" s="107"/>
      <c r="O67" s="107"/>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73" t="s">
        <v>713</v>
      </c>
      <c r="B72" s="75" t="s">
        <v>642</v>
      </c>
      <c r="C72" s="79" t="s">
        <v>731</v>
      </c>
      <c r="D72" s="79" t="s">
        <v>633</v>
      </c>
      <c r="E72" s="80" t="s">
        <v>28</v>
      </c>
      <c r="F72" s="79" t="s">
        <v>27</v>
      </c>
      <c r="G72" s="79" t="s">
        <v>26</v>
      </c>
      <c r="H72" s="81" t="s">
        <v>12</v>
      </c>
      <c r="I72" s="82" t="s">
        <v>13</v>
      </c>
      <c r="J72" s="82" t="s">
        <v>14</v>
      </c>
      <c r="K72" s="83" t="s">
        <v>15</v>
      </c>
      <c r="L72" s="81" t="s">
        <v>16</v>
      </c>
      <c r="M72" s="82" t="s">
        <v>17</v>
      </c>
      <c r="N72" s="82" t="s">
        <v>18</v>
      </c>
      <c r="O72" s="82" t="s">
        <v>31</v>
      </c>
      <c r="AE72" s="7"/>
    </row>
    <row r="73" spans="1:31" x14ac:dyDescent="0.25">
      <c r="A73" s="1" t="s">
        <v>658</v>
      </c>
      <c r="B73" s="74">
        <f t="shared" ref="B73:B81" si="14">COUNTIFS(PendingMSO,$A73,PendingCloseDate,"&gt;="&amp;$B$9,PendingCloseDate,"&lt;="&amp;$B$10) + COUNTIFS(OpenedMSO,$A73,OpenedCloseDate,"&gt;="&amp;$B$9,OpenedCloseDate,"&lt;="&amp;$B$10)</f>
        <v>0</v>
      </c>
      <c r="C73" s="1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101" t="str">
        <f t="shared" si="15"/>
        <v/>
      </c>
      <c r="D75" s="1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101" t="str">
        <f t="shared" si="15"/>
        <v/>
      </c>
      <c r="D77" s="1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101" t="str">
        <f t="shared" si="15"/>
        <v/>
      </c>
      <c r="D79" s="1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1</v>
      </c>
      <c r="C81" s="101">
        <f t="shared" ca="1" si="15"/>
        <v>128</v>
      </c>
      <c r="D81" s="101">
        <f t="shared" si="16"/>
        <v>0</v>
      </c>
      <c r="E81" s="57">
        <f t="shared" si="17"/>
        <v>0</v>
      </c>
      <c r="F81" s="45">
        <f t="shared" si="17"/>
        <v>1</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1</v>
      </c>
      <c r="C82" s="64">
        <f ca="1">IF(B82=0, "", SUM(C73:C81) / B82)</f>
        <v>128</v>
      </c>
      <c r="D82" s="64">
        <f t="shared" ref="D82" si="22">SUM(D73:D81)</f>
        <v>0</v>
      </c>
      <c r="E82" s="60">
        <f t="shared" ref="E82:O82" si="23">SUM(E73:E81)</f>
        <v>0</v>
      </c>
      <c r="F82" s="64">
        <f t="shared" si="23"/>
        <v>1</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77"/>
      <c r="S85" s="77"/>
      <c r="T85" s="77"/>
    </row>
    <row r="86" spans="1:20" ht="14.65" customHeight="1" x14ac:dyDescent="0.35">
      <c r="A86" s="341" t="str">
        <f>$B$8&amp;": Cases Closed, All Allegations"</f>
        <v>Q1: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f>'Start Here'!F$13</f>
        <v>0</v>
      </c>
      <c r="Q88" s="245"/>
    </row>
    <row r="89" spans="1:20" ht="14.65" customHeight="1" x14ac:dyDescent="0.25">
      <c r="A89" s="264"/>
      <c r="B89" s="264"/>
      <c r="C89" s="264"/>
      <c r="D89" s="264"/>
      <c r="E89" s="264"/>
      <c r="F89" s="264"/>
      <c r="G89" s="264"/>
      <c r="H89" s="264"/>
      <c r="I89" s="264"/>
      <c r="J89" s="264"/>
      <c r="K89" s="264"/>
      <c r="L89" s="264"/>
      <c r="M89" s="264"/>
      <c r="N89" s="244" t="s">
        <v>34</v>
      </c>
      <c r="O89" s="244"/>
      <c r="P89" s="225">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82"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04">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f t="shared" si="24"/>
        <v>0</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09">
        <f t="shared" si="26"/>
        <v>0</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04">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09">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04">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09">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04">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09">
        <f t="shared" si="26"/>
        <v>0</v>
      </c>
    </row>
    <row r="100" spans="1:19" x14ac:dyDescent="0.25">
      <c r="A100" s="59" t="s">
        <v>657</v>
      </c>
      <c r="B100" s="343">
        <f t="shared" si="24"/>
        <v>1</v>
      </c>
      <c r="C100" s="344"/>
      <c r="D100" s="100">
        <f t="shared" si="25"/>
        <v>0</v>
      </c>
      <c r="E100" s="100">
        <f t="shared" si="25"/>
        <v>0</v>
      </c>
      <c r="F100" s="100">
        <f t="shared" si="25"/>
        <v>0</v>
      </c>
      <c r="G100" s="100">
        <f t="shared" si="25"/>
        <v>0</v>
      </c>
      <c r="H100" s="100">
        <f t="shared" si="25"/>
        <v>0</v>
      </c>
      <c r="I100" s="100">
        <f t="shared" si="25"/>
        <v>0</v>
      </c>
      <c r="J100" s="100">
        <f t="shared" si="25"/>
        <v>0</v>
      </c>
      <c r="K100" s="100">
        <f t="shared" si="25"/>
        <v>0</v>
      </c>
      <c r="L100" s="58">
        <f t="shared" si="25"/>
        <v>1</v>
      </c>
      <c r="M100" s="108">
        <f t="shared" si="26"/>
        <v>0</v>
      </c>
    </row>
    <row r="101" spans="1:19" x14ac:dyDescent="0.25">
      <c r="A101" s="48" t="s">
        <v>615</v>
      </c>
      <c r="B101" s="345">
        <f>SUM(B92:C100)</f>
        <v>1</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1</v>
      </c>
      <c r="M101" s="60">
        <f>SUM(M92:N100)</f>
        <v>0</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03"/>
      <c r="K107" s="266" t="s">
        <v>637</v>
      </c>
      <c r="L107" s="267"/>
    </row>
    <row r="108" spans="1:19" ht="39" customHeight="1" x14ac:dyDescent="0.25">
      <c r="A108" s="102" t="s">
        <v>736</v>
      </c>
      <c r="B108" s="80" t="s">
        <v>28</v>
      </c>
      <c r="C108" s="79" t="s">
        <v>27</v>
      </c>
      <c r="D108" s="79" t="s">
        <v>26</v>
      </c>
      <c r="E108" s="86" t="s">
        <v>28</v>
      </c>
      <c r="F108" s="87" t="s">
        <v>27</v>
      </c>
      <c r="G108" s="87" t="s">
        <v>26</v>
      </c>
      <c r="H108" s="80" t="s">
        <v>28</v>
      </c>
      <c r="I108" s="79" t="s">
        <v>27</v>
      </c>
      <c r="J108" s="79" t="s">
        <v>26</v>
      </c>
      <c r="K108" s="175" t="s">
        <v>24</v>
      </c>
      <c r="L108" s="176" t="s">
        <v>636</v>
      </c>
      <c r="R108" s="187"/>
      <c r="S108" s="187"/>
    </row>
    <row r="109" spans="1:19" ht="15" customHeight="1" x14ac:dyDescent="0.25">
      <c r="A109" s="98" t="s">
        <v>658</v>
      </c>
      <c r="B109" s="1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01">
        <f t="shared" si="28"/>
        <v>0</v>
      </c>
      <c r="D109" s="1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01">
        <f t="shared" si="32"/>
        <v>0</v>
      </c>
      <c r="J109" s="1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101">
        <f t="shared" si="28"/>
        <v>0</v>
      </c>
      <c r="C111" s="101">
        <f t="shared" si="28"/>
        <v>0</v>
      </c>
      <c r="D111" s="101">
        <f t="shared" si="28"/>
        <v>0</v>
      </c>
      <c r="E111" s="57" t="str">
        <f t="shared" si="29"/>
        <v/>
      </c>
      <c r="F111" s="45" t="str">
        <f t="shared" si="30"/>
        <v/>
      </c>
      <c r="G111" s="45" t="str">
        <f t="shared" si="31"/>
        <v/>
      </c>
      <c r="H111" s="57">
        <f t="shared" si="32"/>
        <v>0</v>
      </c>
      <c r="I111" s="101">
        <f t="shared" si="32"/>
        <v>0</v>
      </c>
      <c r="J111" s="101">
        <f t="shared" si="32"/>
        <v>0</v>
      </c>
      <c r="K111" s="57" t="str">
        <f t="shared" si="33"/>
        <v/>
      </c>
      <c r="L111" s="172"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101">
        <f t="shared" si="28"/>
        <v>0</v>
      </c>
      <c r="C113" s="101">
        <f t="shared" si="28"/>
        <v>0</v>
      </c>
      <c r="D113" s="101">
        <f t="shared" si="28"/>
        <v>0</v>
      </c>
      <c r="E113" s="57" t="str">
        <f t="shared" si="29"/>
        <v/>
      </c>
      <c r="F113" s="45" t="str">
        <f t="shared" si="30"/>
        <v/>
      </c>
      <c r="G113" s="45" t="str">
        <f t="shared" si="31"/>
        <v/>
      </c>
      <c r="H113" s="57">
        <f t="shared" si="32"/>
        <v>0</v>
      </c>
      <c r="I113" s="101">
        <f t="shared" si="32"/>
        <v>0</v>
      </c>
      <c r="J113" s="101">
        <f t="shared" si="32"/>
        <v>0</v>
      </c>
      <c r="K113" s="57" t="str">
        <f t="shared" si="33"/>
        <v/>
      </c>
      <c r="L113" s="172"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101">
        <f t="shared" si="28"/>
        <v>0</v>
      </c>
      <c r="C115" s="101">
        <f t="shared" si="28"/>
        <v>0</v>
      </c>
      <c r="D115" s="101">
        <f t="shared" si="28"/>
        <v>0</v>
      </c>
      <c r="E115" s="57" t="str">
        <f t="shared" si="29"/>
        <v/>
      </c>
      <c r="F115" s="45" t="str">
        <f t="shared" si="30"/>
        <v/>
      </c>
      <c r="G115" s="45" t="str">
        <f t="shared" si="31"/>
        <v/>
      </c>
      <c r="H115" s="57">
        <f t="shared" si="32"/>
        <v>0</v>
      </c>
      <c r="I115" s="101">
        <f t="shared" si="32"/>
        <v>0</v>
      </c>
      <c r="J115" s="101">
        <f t="shared" si="32"/>
        <v>0</v>
      </c>
      <c r="K115" s="57" t="str">
        <f t="shared" si="33"/>
        <v/>
      </c>
      <c r="L115" s="172"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101">
        <f t="shared" si="28"/>
        <v>0</v>
      </c>
      <c r="C117" s="101">
        <f t="shared" si="28"/>
        <v>1</v>
      </c>
      <c r="D117" s="101">
        <f t="shared" si="28"/>
        <v>0</v>
      </c>
      <c r="E117" s="88" t="str">
        <f t="shared" si="29"/>
        <v/>
      </c>
      <c r="F117" s="100">
        <f t="shared" si="30"/>
        <v>1</v>
      </c>
      <c r="G117" s="100" t="str">
        <f t="shared" si="31"/>
        <v/>
      </c>
      <c r="H117" s="57">
        <f t="shared" si="32"/>
        <v>0</v>
      </c>
      <c r="I117" s="101">
        <f t="shared" si="32"/>
        <v>0</v>
      </c>
      <c r="J117" s="101">
        <f t="shared" si="32"/>
        <v>0</v>
      </c>
      <c r="K117" s="57">
        <f t="shared" ca="1" si="33"/>
        <v>128</v>
      </c>
      <c r="L117" s="172" t="str">
        <f t="shared" si="34"/>
        <v/>
      </c>
    </row>
    <row r="118" spans="1:17" x14ac:dyDescent="0.25">
      <c r="A118" s="110" t="s">
        <v>615</v>
      </c>
      <c r="B118" s="64">
        <f>SUM(B109:B117)</f>
        <v>0</v>
      </c>
      <c r="C118" s="64">
        <f t="shared" ref="C118:D118" si="35">SUM(C109:C117)</f>
        <v>1</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1</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128</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1" t="str">
        <f>$B$8&amp;": Cases Opened and Closed, Alleged Other Rule Violations"</f>
        <v>Q1: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5">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0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101">
        <f t="shared" si="37"/>
        <v>0</v>
      </c>
      <c r="E128" s="1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101">
        <f t="shared" si="37"/>
        <v>0</v>
      </c>
      <c r="E130" s="1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101">
        <f t="shared" si="37"/>
        <v>0</v>
      </c>
      <c r="E132" s="1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101">
        <f t="shared" si="37"/>
        <v>0</v>
      </c>
      <c r="E134" s="1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101">
        <f t="shared" si="37"/>
        <v>0</v>
      </c>
      <c r="E136" s="101">
        <f t="shared" si="38"/>
        <v>0</v>
      </c>
      <c r="F136" s="78">
        <f t="shared" si="39"/>
        <v>0</v>
      </c>
      <c r="G136" s="101">
        <f t="shared" si="40"/>
        <v>0</v>
      </c>
      <c r="H136" s="1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101">
        <f t="shared" si="37"/>
        <v>0</v>
      </c>
      <c r="E138" s="101">
        <f t="shared" si="38"/>
        <v>0</v>
      </c>
      <c r="F138" s="78">
        <f t="shared" si="39"/>
        <v>0</v>
      </c>
      <c r="G138" s="101">
        <f t="shared" si="40"/>
        <v>0</v>
      </c>
      <c r="H138" s="1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101">
        <f t="shared" si="37"/>
        <v>0</v>
      </c>
      <c r="E140" s="101">
        <f t="shared" si="38"/>
        <v>0</v>
      </c>
      <c r="F140" s="78">
        <f t="shared" si="39"/>
        <v>0</v>
      </c>
      <c r="G140" s="101">
        <f t="shared" si="40"/>
        <v>0</v>
      </c>
      <c r="H140" s="1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07"/>
      <c r="P143" s="107"/>
      <c r="Q143" s="107"/>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82" t="s">
        <v>13</v>
      </c>
      <c r="L146" s="82" t="s">
        <v>14</v>
      </c>
      <c r="M146" s="83" t="s">
        <v>15</v>
      </c>
      <c r="N146" s="81" t="s">
        <v>16</v>
      </c>
      <c r="O146" s="82" t="s">
        <v>17</v>
      </c>
      <c r="P146" s="82" t="s">
        <v>18</v>
      </c>
      <c r="Q146" s="82"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1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1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1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1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1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101">
        <f t="shared" si="48"/>
        <v>0</v>
      </c>
      <c r="E157" t="str">
        <f t="shared" si="49"/>
        <v/>
      </c>
      <c r="F157" s="78">
        <f t="shared" si="50"/>
        <v>0</v>
      </c>
      <c r="G157" s="101">
        <f t="shared" si="51"/>
        <v>0</v>
      </c>
      <c r="H157" s="101">
        <f t="shared" si="52"/>
        <v>0</v>
      </c>
      <c r="I157" s="78">
        <f t="shared" si="53"/>
        <v>0</v>
      </c>
      <c r="J157" s="101">
        <f t="shared" si="54"/>
        <v>0</v>
      </c>
      <c r="K157" s="101">
        <f t="shared" si="55"/>
        <v>0</v>
      </c>
      <c r="L157" s="101">
        <f t="shared" si="56"/>
        <v>0</v>
      </c>
      <c r="M157" s="78">
        <f t="shared" si="57"/>
        <v>0</v>
      </c>
      <c r="N157" s="101">
        <f t="shared" si="58"/>
        <v>0</v>
      </c>
      <c r="O157" s="101">
        <f t="shared" si="59"/>
        <v>0</v>
      </c>
      <c r="P157" s="101">
        <f t="shared" si="60"/>
        <v>0</v>
      </c>
      <c r="Q157" s="1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101">
        <f t="shared" si="48"/>
        <v>0</v>
      </c>
      <c r="E159" t="str">
        <f t="shared" si="49"/>
        <v/>
      </c>
      <c r="F159" s="78">
        <f t="shared" si="50"/>
        <v>0</v>
      </c>
      <c r="G159" s="101">
        <f t="shared" si="51"/>
        <v>0</v>
      </c>
      <c r="H159" s="101">
        <f t="shared" si="52"/>
        <v>0</v>
      </c>
      <c r="I159" s="78">
        <f t="shared" si="53"/>
        <v>0</v>
      </c>
      <c r="J159" s="101">
        <f t="shared" si="54"/>
        <v>0</v>
      </c>
      <c r="K159" s="101">
        <f t="shared" si="55"/>
        <v>0</v>
      </c>
      <c r="L159" s="101">
        <f t="shared" si="56"/>
        <v>0</v>
      </c>
      <c r="M159" s="78">
        <f t="shared" si="57"/>
        <v>0</v>
      </c>
      <c r="N159" s="101">
        <f t="shared" si="58"/>
        <v>0</v>
      </c>
      <c r="O159" s="101">
        <f t="shared" si="59"/>
        <v>0</v>
      </c>
      <c r="P159" s="101">
        <f t="shared" si="60"/>
        <v>0</v>
      </c>
      <c r="Q159" s="1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101">
        <f t="shared" si="48"/>
        <v>0</v>
      </c>
      <c r="E161" t="str">
        <f t="shared" si="49"/>
        <v/>
      </c>
      <c r="F161" s="78">
        <f t="shared" si="50"/>
        <v>0</v>
      </c>
      <c r="G161" s="101">
        <f t="shared" si="51"/>
        <v>0</v>
      </c>
      <c r="H161" s="101">
        <f t="shared" si="52"/>
        <v>0</v>
      </c>
      <c r="I161" s="78">
        <f t="shared" si="53"/>
        <v>0</v>
      </c>
      <c r="J161" s="101">
        <f t="shared" si="54"/>
        <v>0</v>
      </c>
      <c r="K161" s="101">
        <f t="shared" si="55"/>
        <v>0</v>
      </c>
      <c r="L161" s="101">
        <f t="shared" si="56"/>
        <v>0</v>
      </c>
      <c r="M161" s="78">
        <f t="shared" si="57"/>
        <v>0</v>
      </c>
      <c r="N161" s="101">
        <f t="shared" si="58"/>
        <v>0</v>
      </c>
      <c r="O161" s="101">
        <f t="shared" si="59"/>
        <v>0</v>
      </c>
      <c r="P161" s="101">
        <f t="shared" si="60"/>
        <v>0</v>
      </c>
      <c r="Q161" s="1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07"/>
      <c r="E164" s="107"/>
      <c r="F164" s="107"/>
      <c r="G164" s="107"/>
      <c r="H164" s="107"/>
      <c r="I164" s="107"/>
      <c r="J164" s="107"/>
      <c r="K164" s="107"/>
      <c r="L164" s="107"/>
      <c r="M164" s="107"/>
      <c r="N164" s="107"/>
      <c r="O164" s="107"/>
      <c r="P164" s="107"/>
      <c r="Q164" s="107"/>
    </row>
    <row r="165" spans="1:17" x14ac:dyDescent="0.25">
      <c r="A165" s="351" t="str">
        <f>$B$8&amp;": Cases Closed, Alleged Other Rule Violations"</f>
        <v>Q1: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5">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07"/>
      <c r="P187" s="107"/>
      <c r="Q187" s="107"/>
    </row>
    <row r="188" spans="1:17" x14ac:dyDescent="0.25">
      <c r="A188" s="5"/>
      <c r="B188" s="5"/>
      <c r="C188" s="5"/>
      <c r="D188" s="107"/>
      <c r="E188" s="107"/>
      <c r="F188" s="107"/>
      <c r="G188" s="107"/>
      <c r="H188" s="107"/>
      <c r="I188" s="107"/>
      <c r="J188" s="107"/>
      <c r="K188" s="107"/>
      <c r="M188" s="143"/>
      <c r="N188" s="107"/>
      <c r="P188" s="107"/>
      <c r="Q188" s="107"/>
    </row>
    <row r="189" spans="1:17" ht="21" customHeight="1" x14ac:dyDescent="0.25">
      <c r="A189" s="251" t="s">
        <v>722</v>
      </c>
      <c r="B189" s="251"/>
      <c r="C189" s="251"/>
      <c r="D189" s="251"/>
      <c r="E189" s="251"/>
      <c r="F189" s="251"/>
      <c r="G189" s="251"/>
      <c r="H189" s="251"/>
      <c r="I189" s="251"/>
      <c r="J189" s="251"/>
      <c r="K189" s="251"/>
      <c r="L189" s="251"/>
      <c r="M189" s="182"/>
      <c r="N189" s="182"/>
      <c r="O189" s="182"/>
      <c r="Q189" s="107"/>
    </row>
    <row r="190" spans="1:17" ht="40.5" customHeight="1" x14ac:dyDescent="0.25">
      <c r="A190" s="182"/>
      <c r="B190" s="182"/>
      <c r="C190" s="183"/>
      <c r="D190" s="248" t="s">
        <v>723</v>
      </c>
      <c r="E190" s="249"/>
      <c r="F190" s="250" t="s">
        <v>733</v>
      </c>
      <c r="G190" s="250"/>
      <c r="H190" s="182"/>
      <c r="I190" s="182"/>
      <c r="J190" s="182"/>
      <c r="K190" s="182"/>
      <c r="L190" s="182"/>
      <c r="M190" s="182"/>
      <c r="N190" s="182"/>
      <c r="O190" s="182"/>
      <c r="Q190" s="178"/>
    </row>
    <row r="191" spans="1:17" ht="33" customHeight="1" x14ac:dyDescent="0.25">
      <c r="D191" s="246" t="s">
        <v>724</v>
      </c>
      <c r="E191" s="325"/>
      <c r="F191" s="246" t="s">
        <v>724</v>
      </c>
      <c r="G191" s="247"/>
      <c r="H191" s="186"/>
      <c r="Q191" s="107"/>
    </row>
    <row r="192" spans="1:17" ht="45" customHeight="1" x14ac:dyDescent="0.25">
      <c r="A192" s="321" t="s">
        <v>726</v>
      </c>
      <c r="B192" s="321"/>
      <c r="C192" s="322"/>
      <c r="D192" s="174" t="s">
        <v>24</v>
      </c>
      <c r="E192" s="179" t="s">
        <v>636</v>
      </c>
      <c r="F192" s="176" t="s">
        <v>24</v>
      </c>
      <c r="G192" s="176" t="s">
        <v>636</v>
      </c>
      <c r="H192" s="186"/>
      <c r="Q192" s="107"/>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7"/>
      <c r="Q193" s="107"/>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07"/>
      <c r="Q194" s="107"/>
    </row>
    <row r="195" spans="1:17" x14ac:dyDescent="0.25">
      <c r="A195" s="95" t="s">
        <v>650</v>
      </c>
      <c r="B195" s="95"/>
      <c r="C195" s="114"/>
      <c r="D195" s="220">
        <f t="shared" si="70"/>
        <v>0</v>
      </c>
      <c r="E195" s="221">
        <f t="shared" si="71"/>
        <v>0</v>
      </c>
      <c r="F195" s="45" t="str">
        <f t="shared" si="73"/>
        <v/>
      </c>
      <c r="G195" s="172" t="str">
        <f t="shared" si="72"/>
        <v/>
      </c>
      <c r="H195" s="107"/>
      <c r="Q195" s="107"/>
    </row>
    <row r="196" spans="1:17" x14ac:dyDescent="0.25">
      <c r="A196" s="93" t="s">
        <v>688</v>
      </c>
      <c r="B196" s="93"/>
      <c r="C196" s="123"/>
      <c r="D196" s="218">
        <f t="shared" si="70"/>
        <v>0</v>
      </c>
      <c r="E196" s="219">
        <f t="shared" si="71"/>
        <v>0</v>
      </c>
      <c r="F196" s="46" t="str">
        <f t="shared" si="73"/>
        <v/>
      </c>
      <c r="G196" s="55" t="str">
        <f t="shared" si="72"/>
        <v/>
      </c>
      <c r="H196" s="107"/>
      <c r="Q196" s="107"/>
    </row>
    <row r="197" spans="1:17" x14ac:dyDescent="0.25">
      <c r="A197" s="95" t="s">
        <v>661</v>
      </c>
      <c r="B197" s="95"/>
      <c r="C197" s="114"/>
      <c r="D197" s="220">
        <f t="shared" si="70"/>
        <v>0</v>
      </c>
      <c r="E197" s="221">
        <f t="shared" si="71"/>
        <v>0</v>
      </c>
      <c r="F197" s="45" t="str">
        <f t="shared" si="73"/>
        <v/>
      </c>
      <c r="G197" s="172" t="str">
        <f t="shared" si="72"/>
        <v/>
      </c>
      <c r="H197" s="107"/>
      <c r="Q197" s="107"/>
    </row>
    <row r="198" spans="1:17" x14ac:dyDescent="0.25">
      <c r="A198" s="93" t="s">
        <v>689</v>
      </c>
      <c r="B198" s="93"/>
      <c r="C198" s="123"/>
      <c r="D198" s="218">
        <f t="shared" si="70"/>
        <v>0</v>
      </c>
      <c r="E198" s="219">
        <f t="shared" si="71"/>
        <v>0</v>
      </c>
      <c r="F198" s="46" t="str">
        <f t="shared" si="73"/>
        <v/>
      </c>
      <c r="G198" s="55" t="str">
        <f t="shared" si="72"/>
        <v/>
      </c>
      <c r="H198" s="107"/>
      <c r="Q198" s="107"/>
    </row>
    <row r="199" spans="1:17" x14ac:dyDescent="0.25">
      <c r="A199" s="95" t="s">
        <v>690</v>
      </c>
      <c r="B199" s="95"/>
      <c r="C199" s="114"/>
      <c r="D199" s="220">
        <f t="shared" si="70"/>
        <v>0</v>
      </c>
      <c r="E199" s="221">
        <f t="shared" si="71"/>
        <v>0</v>
      </c>
      <c r="F199" s="45" t="str">
        <f t="shared" si="73"/>
        <v/>
      </c>
      <c r="G199" s="172" t="str">
        <f t="shared" si="72"/>
        <v/>
      </c>
      <c r="H199" s="107"/>
      <c r="Q199" s="107"/>
    </row>
    <row r="200" spans="1:17" x14ac:dyDescent="0.25">
      <c r="A200" s="93" t="s">
        <v>662</v>
      </c>
      <c r="B200" s="93"/>
      <c r="C200" s="123"/>
      <c r="D200" s="218">
        <f t="shared" si="70"/>
        <v>0</v>
      </c>
      <c r="E200" s="219">
        <f t="shared" si="71"/>
        <v>0</v>
      </c>
      <c r="F200" s="46" t="str">
        <f t="shared" si="73"/>
        <v/>
      </c>
      <c r="G200" s="55" t="str">
        <f t="shared" si="72"/>
        <v/>
      </c>
      <c r="H200" s="107"/>
      <c r="Q200" s="107"/>
    </row>
    <row r="201" spans="1:17" x14ac:dyDescent="0.25">
      <c r="A201" s="95" t="s">
        <v>672</v>
      </c>
      <c r="B201" s="95"/>
      <c r="C201" s="114"/>
      <c r="D201" s="220">
        <f t="shared" si="70"/>
        <v>0</v>
      </c>
      <c r="E201" s="221">
        <f t="shared" si="71"/>
        <v>0</v>
      </c>
      <c r="F201" s="45" t="str">
        <f t="shared" si="73"/>
        <v/>
      </c>
      <c r="G201" s="172" t="str">
        <f t="shared" si="72"/>
        <v/>
      </c>
      <c r="H201" s="107"/>
      <c r="Q201" s="107"/>
    </row>
    <row r="202" spans="1:17" x14ac:dyDescent="0.25">
      <c r="A202" s="93" t="s">
        <v>676</v>
      </c>
      <c r="B202" s="93"/>
      <c r="C202" s="123"/>
      <c r="D202" s="218">
        <f t="shared" si="70"/>
        <v>0</v>
      </c>
      <c r="E202" s="219">
        <f t="shared" si="71"/>
        <v>0</v>
      </c>
      <c r="F202" s="46" t="str">
        <f t="shared" si="73"/>
        <v/>
      </c>
      <c r="G202" s="46" t="str">
        <f t="shared" si="72"/>
        <v/>
      </c>
      <c r="H202" s="107"/>
      <c r="Q202" s="107"/>
    </row>
    <row r="203" spans="1:17" x14ac:dyDescent="0.25">
      <c r="A203" s="143" t="s">
        <v>677</v>
      </c>
      <c r="B203" s="107"/>
      <c r="C203" s="114"/>
      <c r="D203" s="220">
        <f t="shared" si="70"/>
        <v>0</v>
      </c>
      <c r="E203" s="221">
        <f t="shared" si="71"/>
        <v>0</v>
      </c>
      <c r="F203" s="178" t="str">
        <f t="shared" si="73"/>
        <v/>
      </c>
      <c r="G203" s="178" t="str">
        <f t="shared" si="72"/>
        <v/>
      </c>
      <c r="H203" s="107"/>
      <c r="Q203" s="107"/>
    </row>
    <row r="204" spans="1:17" x14ac:dyDescent="0.25">
      <c r="A204" s="93" t="s">
        <v>691</v>
      </c>
      <c r="B204" s="106"/>
      <c r="C204" s="123"/>
      <c r="D204" s="218">
        <f t="shared" si="70"/>
        <v>0</v>
      </c>
      <c r="E204" s="219">
        <f t="shared" si="71"/>
        <v>0</v>
      </c>
      <c r="F204" s="177" t="str">
        <f t="shared" si="73"/>
        <v/>
      </c>
      <c r="G204" s="177" t="str">
        <f t="shared" si="72"/>
        <v/>
      </c>
      <c r="H204" s="107"/>
      <c r="Q204" s="107"/>
    </row>
    <row r="205" spans="1:17" x14ac:dyDescent="0.25">
      <c r="A205" s="143" t="s">
        <v>678</v>
      </c>
      <c r="B205" s="107"/>
      <c r="C205" s="114"/>
      <c r="D205" s="220">
        <f t="shared" si="70"/>
        <v>0</v>
      </c>
      <c r="E205" s="221">
        <f t="shared" si="71"/>
        <v>0</v>
      </c>
      <c r="F205" s="178" t="str">
        <f t="shared" si="73"/>
        <v/>
      </c>
      <c r="G205" s="178" t="str">
        <f t="shared" si="72"/>
        <v/>
      </c>
      <c r="H205" s="107"/>
      <c r="Q205" s="107"/>
    </row>
    <row r="206" spans="1:17" x14ac:dyDescent="0.25">
      <c r="A206" s="93" t="s">
        <v>692</v>
      </c>
      <c r="B206" s="106"/>
      <c r="C206" s="123"/>
      <c r="D206" s="218">
        <f t="shared" si="70"/>
        <v>0</v>
      </c>
      <c r="E206" s="219">
        <f t="shared" si="71"/>
        <v>0</v>
      </c>
      <c r="F206" s="177" t="str">
        <f t="shared" si="73"/>
        <v/>
      </c>
      <c r="G206" s="177" t="str">
        <f t="shared" si="72"/>
        <v/>
      </c>
      <c r="H206" s="107"/>
      <c r="Q206" s="107"/>
    </row>
    <row r="207" spans="1:17" x14ac:dyDescent="0.25">
      <c r="A207" s="143" t="s">
        <v>679</v>
      </c>
      <c r="B207" s="107"/>
      <c r="C207" s="114"/>
      <c r="D207" s="220">
        <f t="shared" si="70"/>
        <v>0</v>
      </c>
      <c r="E207" s="221">
        <f t="shared" si="71"/>
        <v>0</v>
      </c>
      <c r="F207" s="178" t="str">
        <f t="shared" si="73"/>
        <v/>
      </c>
      <c r="G207" s="178" t="str">
        <f t="shared" si="72"/>
        <v/>
      </c>
      <c r="H207" s="107"/>
      <c r="Q207" s="107"/>
    </row>
    <row r="208" spans="1:17" x14ac:dyDescent="0.25">
      <c r="A208" s="93" t="s">
        <v>680</v>
      </c>
      <c r="B208" s="106"/>
      <c r="C208" s="123"/>
      <c r="D208" s="218">
        <f t="shared" si="70"/>
        <v>0</v>
      </c>
      <c r="E208" s="219">
        <f t="shared" si="71"/>
        <v>0</v>
      </c>
      <c r="F208" s="177" t="str">
        <f t="shared" si="73"/>
        <v/>
      </c>
      <c r="G208" s="177" t="str">
        <f t="shared" si="72"/>
        <v/>
      </c>
      <c r="H208" s="107"/>
      <c r="Q208" s="107"/>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07"/>
      <c r="Q209" s="107"/>
    </row>
    <row r="210" spans="1:17" x14ac:dyDescent="0.25">
      <c r="A210" s="348" t="str">
        <f>$B$8&amp;": Cases Opened and Closed, Alleged Criminal Violations"</f>
        <v>Q1: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5">
        <f>'Start Here'!$C$16</f>
        <v>2022</v>
      </c>
    </row>
    <row r="215" spans="1:17" ht="16.5" customHeight="1" x14ac:dyDescent="0.25">
      <c r="A215" s="343" t="s">
        <v>739</v>
      </c>
      <c r="B215" s="343"/>
      <c r="C215" s="10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101">
        <f t="shared" si="74"/>
        <v>0</v>
      </c>
      <c r="D218" s="1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101">
        <f t="shared" si="74"/>
        <v>0</v>
      </c>
      <c r="D220" s="1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101">
        <f t="shared" si="74"/>
        <v>0</v>
      </c>
      <c r="D222" s="1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07"/>
      <c r="P224" s="107"/>
      <c r="Q224" s="107"/>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82" t="s">
        <v>13</v>
      </c>
      <c r="K227" s="82" t="s">
        <v>14</v>
      </c>
      <c r="L227" s="83" t="s">
        <v>15</v>
      </c>
      <c r="M227" s="81" t="s">
        <v>16</v>
      </c>
      <c r="N227" s="82" t="s">
        <v>17</v>
      </c>
      <c r="O227" s="82" t="s">
        <v>18</v>
      </c>
      <c r="P227" s="82"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1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1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1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1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Q1: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5">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07"/>
    </row>
    <row r="251" spans="1:17" x14ac:dyDescent="0.25">
      <c r="A251" s="5"/>
      <c r="B251" s="5"/>
      <c r="C251" s="5"/>
      <c r="D251" s="107"/>
      <c r="E251" s="107"/>
      <c r="F251" s="107"/>
      <c r="G251" s="107"/>
      <c r="H251" s="107"/>
      <c r="I251" s="107"/>
      <c r="J251" s="107"/>
      <c r="K251" s="107"/>
      <c r="M251" s="143"/>
      <c r="N251" s="256"/>
      <c r="O251" s="257"/>
      <c r="P251" s="258"/>
      <c r="Q251" s="107"/>
    </row>
    <row r="252" spans="1:17" ht="48" customHeight="1" x14ac:dyDescent="0.25">
      <c r="A252" s="251" t="s">
        <v>741</v>
      </c>
      <c r="B252" s="251"/>
      <c r="C252" s="251"/>
      <c r="D252" s="251"/>
      <c r="E252" s="251"/>
      <c r="F252" s="251"/>
      <c r="G252" s="251"/>
      <c r="H252" s="186"/>
      <c r="N252" s="256"/>
      <c r="O252" s="257"/>
      <c r="P252" s="258"/>
      <c r="Q252" s="107"/>
    </row>
    <row r="253" spans="1:17" ht="47.25" customHeight="1" thickBot="1" x14ac:dyDescent="0.3">
      <c r="A253" s="182"/>
      <c r="B253" s="182"/>
      <c r="C253" s="183"/>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07"/>
    </row>
    <row r="255" spans="1:17" ht="45" customHeight="1" x14ac:dyDescent="0.25">
      <c r="A255" s="321" t="s">
        <v>739</v>
      </c>
      <c r="B255" s="321"/>
      <c r="C255" s="322"/>
      <c r="D255" s="174" t="s">
        <v>24</v>
      </c>
      <c r="E255" s="179" t="s">
        <v>636</v>
      </c>
      <c r="F255" s="176" t="s">
        <v>24</v>
      </c>
      <c r="G255" s="176" t="s">
        <v>636</v>
      </c>
      <c r="H255" s="178"/>
      <c r="Q255" s="107"/>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07"/>
    </row>
    <row r="257" spans="1:17" x14ac:dyDescent="0.25">
      <c r="A257" s="93" t="s">
        <v>683</v>
      </c>
      <c r="B257" s="93"/>
      <c r="C257" s="123"/>
      <c r="D257" s="214">
        <f t="shared" si="89"/>
        <v>0</v>
      </c>
      <c r="E257" s="123">
        <f t="shared" si="90"/>
        <v>0</v>
      </c>
      <c r="F257" s="46" t="str">
        <f t="shared" si="91"/>
        <v/>
      </c>
      <c r="G257" s="55" t="str">
        <f t="shared" si="92"/>
        <v/>
      </c>
      <c r="H257" s="178"/>
      <c r="Q257" s="107"/>
    </row>
    <row r="258" spans="1:17" x14ac:dyDescent="0.25">
      <c r="A258" s="95" t="s">
        <v>684</v>
      </c>
      <c r="B258" s="95"/>
      <c r="C258" s="114"/>
      <c r="D258" s="76">
        <f t="shared" si="89"/>
        <v>0</v>
      </c>
      <c r="E258" s="114">
        <f t="shared" si="90"/>
        <v>0</v>
      </c>
      <c r="F258" s="45" t="str">
        <f t="shared" si="91"/>
        <v/>
      </c>
      <c r="G258" s="172" t="str">
        <f t="shared" si="92"/>
        <v/>
      </c>
      <c r="H258" s="178"/>
      <c r="Q258" s="107"/>
    </row>
    <row r="259" spans="1:17" x14ac:dyDescent="0.25">
      <c r="A259" s="93" t="s">
        <v>685</v>
      </c>
      <c r="B259" s="93"/>
      <c r="C259" s="123"/>
      <c r="D259" s="214">
        <f t="shared" si="89"/>
        <v>0</v>
      </c>
      <c r="E259" s="123">
        <f t="shared" si="90"/>
        <v>0</v>
      </c>
      <c r="F259" s="46" t="str">
        <f t="shared" si="91"/>
        <v/>
      </c>
      <c r="G259" s="55" t="str">
        <f t="shared" si="92"/>
        <v/>
      </c>
      <c r="H259" s="178"/>
      <c r="Q259" s="107"/>
    </row>
    <row r="260" spans="1:17" x14ac:dyDescent="0.25">
      <c r="A260" s="95" t="s">
        <v>648</v>
      </c>
      <c r="B260" s="95"/>
      <c r="C260" s="114"/>
      <c r="D260" s="76">
        <f t="shared" si="89"/>
        <v>0</v>
      </c>
      <c r="E260" s="114">
        <f t="shared" si="90"/>
        <v>0</v>
      </c>
      <c r="F260" s="45" t="str">
        <f t="shared" si="91"/>
        <v/>
      </c>
      <c r="G260" s="172" t="str">
        <f t="shared" si="92"/>
        <v/>
      </c>
      <c r="H260" s="178"/>
      <c r="Q260" s="107"/>
    </row>
    <row r="261" spans="1:17" x14ac:dyDescent="0.25">
      <c r="A261" s="93" t="s">
        <v>686</v>
      </c>
      <c r="B261" s="93"/>
      <c r="C261" s="123"/>
      <c r="D261" s="214">
        <f t="shared" si="89"/>
        <v>0</v>
      </c>
      <c r="E261" s="123">
        <f t="shared" si="90"/>
        <v>0</v>
      </c>
      <c r="F261" s="46" t="str">
        <f t="shared" si="91"/>
        <v/>
      </c>
      <c r="G261" s="55" t="str">
        <f t="shared" si="92"/>
        <v/>
      </c>
      <c r="H261" s="178"/>
      <c r="Q261" s="107"/>
    </row>
    <row r="262" spans="1:17" x14ac:dyDescent="0.25">
      <c r="A262" s="95" t="s">
        <v>687</v>
      </c>
      <c r="B262" s="95"/>
      <c r="C262" s="114"/>
      <c r="D262" s="76">
        <f t="shared" si="89"/>
        <v>0</v>
      </c>
      <c r="E262" s="114">
        <f t="shared" si="90"/>
        <v>0</v>
      </c>
      <c r="F262" s="45" t="str">
        <f t="shared" si="91"/>
        <v/>
      </c>
      <c r="G262" s="172" t="str">
        <f t="shared" si="92"/>
        <v/>
      </c>
      <c r="H262" s="178"/>
      <c r="Q262" s="107"/>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07"/>
    </row>
    <row r="264" spans="1:17" x14ac:dyDescent="0.25">
      <c r="F264" s="107"/>
      <c r="G264" s="107"/>
      <c r="H264" s="107"/>
      <c r="I264" s="107"/>
      <c r="J264" s="107"/>
      <c r="K264" s="107"/>
      <c r="L264" s="143"/>
      <c r="M264" s="107"/>
      <c r="N264" s="107"/>
      <c r="O264" s="107"/>
      <c r="P264" s="107"/>
      <c r="Q264" s="107"/>
    </row>
    <row r="265" spans="1:17" x14ac:dyDescent="0.25">
      <c r="A265" s="348" t="str">
        <f>$B$8&amp;": Discipline Issued"</f>
        <v>Q1: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5">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1</v>
      </c>
      <c r="F277">
        <f t="shared" si="93"/>
        <v>0</v>
      </c>
      <c r="G277">
        <f t="shared" si="93"/>
        <v>0</v>
      </c>
      <c r="H277">
        <f t="shared" si="93"/>
        <v>0</v>
      </c>
      <c r="I277">
        <f t="shared" si="93"/>
        <v>0</v>
      </c>
      <c r="J277">
        <f t="shared" si="93"/>
        <v>0</v>
      </c>
      <c r="K277">
        <f t="shared" si="93"/>
        <v>0</v>
      </c>
      <c r="L277" s="114">
        <f t="shared" si="93"/>
        <v>0</v>
      </c>
      <c r="M277" s="135">
        <f t="shared" si="94"/>
        <v>1</v>
      </c>
    </row>
    <row r="278" spans="1:13" x14ac:dyDescent="0.25">
      <c r="A278" s="44" t="s">
        <v>697</v>
      </c>
      <c r="B278" s="132"/>
      <c r="C278" s="136"/>
      <c r="D278" s="132">
        <f>SUM(D269:D277)</f>
        <v>0</v>
      </c>
      <c r="E278" s="132">
        <f t="shared" ref="E278:L278" si="95">SUM(E269:E277)</f>
        <v>1</v>
      </c>
      <c r="F278" s="132">
        <f t="shared" si="95"/>
        <v>0</v>
      </c>
      <c r="G278" s="132">
        <f t="shared" si="95"/>
        <v>0</v>
      </c>
      <c r="H278" s="132">
        <f t="shared" si="95"/>
        <v>0</v>
      </c>
      <c r="I278" s="132">
        <f t="shared" si="95"/>
        <v>0</v>
      </c>
      <c r="J278" s="132">
        <f t="shared" si="95"/>
        <v>0</v>
      </c>
      <c r="K278" s="132">
        <f t="shared" si="95"/>
        <v>0</v>
      </c>
      <c r="L278" s="136">
        <f t="shared" si="95"/>
        <v>0</v>
      </c>
      <c r="M278" s="140">
        <f t="shared" si="94"/>
        <v>1</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pageSetUpPr fitToPage="1"/>
  </sheetPr>
  <dimension ref="A2:AE307"/>
  <sheetViews>
    <sheetView view="pageBreakPreview" topLeftCell="A7" zoomScale="78" zoomScaleNormal="100" zoomScaleSheetLayoutView="78" zoomScalePageLayoutView="60" workbookViewId="0">
      <selection activeCell="R31" sqref="R3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744</v>
      </c>
      <c r="C8" s="292" t="str">
        <f>$B$8&amp;" Internal Affairs Summary"</f>
        <v>Q2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44652</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44742</v>
      </c>
      <c r="C10" s="347" t="str">
        <f>"Internal Affairs: "&amp;$B$8&amp;" Snapshot"</f>
        <v>Internal Affairs: Q2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Q2.</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f t="shared" si="0"/>
        <v>0</v>
      </c>
      <c r="G17" s="274"/>
      <c r="H17" s="303">
        <f t="shared" si="1"/>
        <v>0</v>
      </c>
      <c r="I17" s="303"/>
      <c r="J17" s="303">
        <f t="shared" si="2"/>
        <v>0</v>
      </c>
      <c r="K17" s="303"/>
      <c r="L17" s="303">
        <f t="shared" si="3"/>
        <v>0</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0</v>
      </c>
      <c r="G24" s="272"/>
      <c r="H24" s="301">
        <f t="shared" si="1"/>
        <v>0</v>
      </c>
      <c r="I24" s="301"/>
      <c r="J24" s="301">
        <f t="shared" si="2"/>
        <v>0</v>
      </c>
      <c r="K24" s="301"/>
      <c r="L24" s="301">
        <f t="shared" si="3"/>
        <v>0</v>
      </c>
      <c r="M24" s="301"/>
    </row>
    <row r="25" spans="3:16" ht="18.75" x14ac:dyDescent="0.3">
      <c r="C25" s="132"/>
      <c r="D25" s="132"/>
      <c r="E25" s="165" t="s">
        <v>615</v>
      </c>
      <c r="F25" s="308">
        <f>SUM(F16:F24)</f>
        <v>0</v>
      </c>
      <c r="G25" s="309"/>
      <c r="H25" s="310">
        <f t="shared" ref="H25" si="4">SUM(H16:H24)</f>
        <v>0</v>
      </c>
      <c r="I25" s="310"/>
      <c r="J25" s="310">
        <f>SUM(J16:J24)</f>
        <v>0</v>
      </c>
      <c r="K25" s="310"/>
      <c r="L25" s="310">
        <f>SUM(L16:L24)</f>
        <v>0</v>
      </c>
      <c r="M25" s="310"/>
    </row>
    <row r="28" spans="3:16" ht="21" x14ac:dyDescent="0.35">
      <c r="F28" s="293" t="str">
        <f>"Distribution of sources for complaints closed in "&amp;$B$8</f>
        <v>Distribution of sources for complaints closed in Q2</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v>0</v>
      </c>
      <c r="G31" s="297"/>
      <c r="H31" s="298">
        <f>COUNTIFS(PendingComplaintSource, H30, PendingCloseDate,"&gt;="&amp;$B$9,PendingCloseDate,"&lt;="&amp;$B$10) + COUNTIFS(OpenedComplaintSource, H30, OpenedCloseDate,"&gt;="&amp;$B$9,OpenedCloseDate,"&lt;="&amp;$B$10)</f>
        <v>0</v>
      </c>
      <c r="I31" s="298"/>
      <c r="J31" s="297">
        <f>COUNTIFS(PendingComplaintSource, J30, PendingCloseDate,"&gt;="&amp;$B$9,PendingCloseDate,"&lt;="&amp;$B$10) + COUNTIFS(OpenedComplaintSource, J30, OpenedCloseDate,"&gt;="&amp;$B$9,OpenedCloseDate,"&lt;="&amp;$B$10)</f>
        <v>0</v>
      </c>
      <c r="K31" s="299"/>
      <c r="L31" s="184"/>
      <c r="M31" s="184"/>
      <c r="N31" s="184"/>
      <c r="O31" s="184"/>
      <c r="P31" s="184"/>
    </row>
    <row r="32" spans="3:16" ht="18.75" x14ac:dyDescent="0.3">
      <c r="E32" s="228" t="s">
        <v>711</v>
      </c>
      <c r="F32" s="304" t="str">
        <f t="shared" ref="F32" si="5">IF(SUM($F31:$J31)=0, "", F31/SUM($F31:$J31))</f>
        <v/>
      </c>
      <c r="G32" s="305"/>
      <c r="H32" s="306" t="str">
        <f t="shared" ref="H32" si="6">IF(SUM($F31:$J31)=0, "", H31/SUM($F31:$J31))</f>
        <v/>
      </c>
      <c r="I32" s="306"/>
      <c r="J32" s="305" t="str">
        <f>IF(SUM($F31:$J31)=0, "", J31/SUM($F31:$J31))</f>
        <v/>
      </c>
      <c r="K32" s="307"/>
    </row>
    <row r="33" spans="1:17" ht="15.75" thickBot="1" x14ac:dyDescent="0.3"/>
    <row r="34" spans="1:17" ht="36.75" customHeight="1" x14ac:dyDescent="0.3">
      <c r="C34" s="268" t="str">
        <f>"Frequency of discipline by type for complaints closed in "&amp;$B$8</f>
        <v>Frequency of discipline by type for complaints closed in Q2</v>
      </c>
      <c r="D34" s="268"/>
      <c r="E34" s="268"/>
      <c r="F34" s="268"/>
      <c r="G34" s="208"/>
      <c r="I34" s="252" t="str">
        <f>$B$8&amp;" Summary"</f>
        <v>Q2 Summary</v>
      </c>
      <c r="J34" s="252"/>
      <c r="K34" s="252"/>
      <c r="M34" s="283" t="s">
        <v>625</v>
      </c>
      <c r="N34" s="284"/>
      <c r="O34" s="284"/>
      <c r="P34" s="285"/>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7" t="s">
        <v>621</v>
      </c>
      <c r="J35" s="278"/>
      <c r="K35" s="281">
        <f>SUM($B$67:$D$67)</f>
        <v>0</v>
      </c>
      <c r="M35" s="286"/>
      <c r="N35" s="287"/>
      <c r="O35" s="287"/>
      <c r="P35" s="288"/>
    </row>
    <row r="36" spans="1:17" ht="18.75" x14ac:dyDescent="0.3">
      <c r="B36" s="117"/>
      <c r="C36" s="117"/>
      <c r="D36" s="117"/>
      <c r="E36" s="210"/>
      <c r="F36" s="163" t="s">
        <v>664</v>
      </c>
      <c r="G36" s="210">
        <f t="shared" si="7"/>
        <v>0</v>
      </c>
      <c r="I36" s="279"/>
      <c r="J36" s="280"/>
      <c r="K36" s="282"/>
      <c r="M36" s="286"/>
      <c r="N36" s="287"/>
      <c r="O36" s="287"/>
      <c r="P36" s="288"/>
    </row>
    <row r="37" spans="1:17" ht="18.75" customHeight="1" x14ac:dyDescent="0.3">
      <c r="E37" s="209"/>
      <c r="F37" s="164" t="s">
        <v>665</v>
      </c>
      <c r="G37" s="209">
        <f t="shared" si="7"/>
        <v>0</v>
      </c>
      <c r="I37" s="269" t="s">
        <v>643</v>
      </c>
      <c r="J37" s="270"/>
      <c r="K37" s="211">
        <f>SUM($E$67:$G$67)</f>
        <v>0</v>
      </c>
      <c r="M37" s="286"/>
      <c r="N37" s="287"/>
      <c r="O37" s="287"/>
      <c r="P37" s="288"/>
    </row>
    <row r="38" spans="1:17" ht="18.75" x14ac:dyDescent="0.3">
      <c r="B38" s="117"/>
      <c r="C38" s="117"/>
      <c r="D38" s="117"/>
      <c r="E38" s="210"/>
      <c r="F38" s="163" t="s">
        <v>666</v>
      </c>
      <c r="G38" s="210">
        <f t="shared" si="7"/>
        <v>0</v>
      </c>
      <c r="I38" s="271" t="s">
        <v>622</v>
      </c>
      <c r="J38" s="272"/>
      <c r="K38" s="212">
        <f>$B$82</f>
        <v>0</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210"/>
      <c r="F40" s="163" t="s">
        <v>668</v>
      </c>
      <c r="G40" s="210">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209"/>
      <c r="F41" s="164" t="s">
        <v>693</v>
      </c>
      <c r="G41" s="209">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f t="shared" si="7"/>
        <v>0</v>
      </c>
      <c r="I42" s="279" t="str">
        <f>"Total Pending  at end of "&amp;$B$8</f>
        <v>Total Pending  at end of Q2</v>
      </c>
      <c r="J42" s="280"/>
      <c r="K42" s="282">
        <f>(SUM(K35:K37))-K38</f>
        <v>0</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f t="shared" si="7"/>
        <v>0</v>
      </c>
      <c r="I44" s="125"/>
      <c r="J44" s="125"/>
      <c r="K44" s="125"/>
      <c r="M44" s="289"/>
      <c r="N44" s="290"/>
      <c r="O44" s="290"/>
      <c r="P44" s="291"/>
    </row>
    <row r="45" spans="1:17" ht="18.75" x14ac:dyDescent="0.3">
      <c r="B45" s="125"/>
      <c r="C45" s="125"/>
      <c r="D45" s="125"/>
      <c r="E45" s="125"/>
      <c r="F45" s="170" t="s">
        <v>615</v>
      </c>
      <c r="G45" s="171">
        <f>SUM(G35:G44)</f>
        <v>0</v>
      </c>
    </row>
    <row r="48" spans="1:17" x14ac:dyDescent="0.25">
      <c r="A48" s="1"/>
      <c r="K48" s="244" t="s">
        <v>33</v>
      </c>
      <c r="L48" s="244"/>
      <c r="M48" s="245" t="str">
        <f>'Start Here'!C$13</f>
        <v xml:space="preserve">Lower Alloways Creek Police </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Q2: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6"/>
      <c r="O59" s="257"/>
      <c r="P59" s="258"/>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59"/>
      <c r="O66" s="260"/>
      <c r="P66" s="261"/>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Q2: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f>'Start Here'!F$13</f>
        <v>0</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f t="shared" si="24"/>
        <v>0</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3">
        <f t="shared" si="24"/>
        <v>0</v>
      </c>
      <c r="C100" s="344"/>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5">
        <f>SUM(B92:C100)</f>
        <v>0</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1" t="str">
        <f>$B$8&amp;": Cases Opened and Closed, Alleged Other Rule Violations"</f>
        <v>Q2: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Q2: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Q2: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Q2: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Q2: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79998168889431442"/>
    <pageSetUpPr fitToPage="1"/>
  </sheetPr>
  <dimension ref="A2:AE307"/>
  <sheetViews>
    <sheetView view="pageBreakPreview" topLeftCell="A19" zoomScale="78" zoomScaleNormal="100" zoomScaleSheetLayoutView="78" zoomScalePageLayoutView="60" workbookViewId="0">
      <selection activeCell="O29" sqref="O2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745</v>
      </c>
      <c r="C8" s="292" t="str">
        <f>$B$8&amp;" Internal Affairs Summary"</f>
        <v>Q3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44743</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44834</v>
      </c>
      <c r="C10" s="347" t="str">
        <f>"Internal Affairs: "&amp;$B$8&amp;" Snapshot"</f>
        <v>Internal Affairs: Q3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Q3.</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f t="shared" si="0"/>
        <v>0</v>
      </c>
      <c r="G17" s="274"/>
      <c r="H17" s="303">
        <f t="shared" si="1"/>
        <v>0</v>
      </c>
      <c r="I17" s="303"/>
      <c r="J17" s="303">
        <f t="shared" si="2"/>
        <v>0</v>
      </c>
      <c r="K17" s="303"/>
      <c r="L17" s="303">
        <f t="shared" si="3"/>
        <v>0</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1</v>
      </c>
      <c r="G24" s="272"/>
      <c r="H24" s="301">
        <f t="shared" si="1"/>
        <v>0</v>
      </c>
      <c r="I24" s="301"/>
      <c r="J24" s="301">
        <f t="shared" si="2"/>
        <v>0</v>
      </c>
      <c r="K24" s="301"/>
      <c r="L24" s="301">
        <f t="shared" si="3"/>
        <v>0</v>
      </c>
      <c r="M24" s="301"/>
    </row>
    <row r="25" spans="3:16" ht="18.75" x14ac:dyDescent="0.3">
      <c r="C25" s="132"/>
      <c r="D25" s="132"/>
      <c r="E25" s="165" t="s">
        <v>615</v>
      </c>
      <c r="F25" s="308">
        <f>SUM(F16:F24)</f>
        <v>1</v>
      </c>
      <c r="G25" s="309"/>
      <c r="H25" s="310">
        <f t="shared" ref="H25" si="4">SUM(H16:H24)</f>
        <v>0</v>
      </c>
      <c r="I25" s="310"/>
      <c r="J25" s="310">
        <f>SUM(J16:J24)</f>
        <v>0</v>
      </c>
      <c r="K25" s="310"/>
      <c r="L25" s="310">
        <f>SUM(L16:L24)</f>
        <v>0</v>
      </c>
      <c r="M25" s="310"/>
    </row>
    <row r="28" spans="3:16" ht="21" x14ac:dyDescent="0.35">
      <c r="F28" s="293" t="str">
        <f>"Distribution of sources for complaints closed in "&amp;$B$8</f>
        <v>Distribution of sources for complaints closed in Q3</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1</v>
      </c>
      <c r="I31" s="298"/>
      <c r="J31" s="297">
        <f>COUNTIFS(PendingComplaintSource, J30, PendingCloseDate,"&gt;="&amp;$B$9,PendingCloseDate,"&lt;="&amp;$B$10) + COUNTIFS(OpenedComplaintSource, J30, OpenedCloseDate,"&gt;="&amp;$B$9,OpenedCloseDate,"&lt;="&amp;$B$10)</f>
        <v>0</v>
      </c>
      <c r="K31" s="299"/>
      <c r="L31" s="184"/>
      <c r="M31" s="184"/>
      <c r="N31" s="184"/>
      <c r="O31" s="184"/>
      <c r="P31" s="184"/>
    </row>
    <row r="32" spans="3:16" ht="18.75" x14ac:dyDescent="0.3">
      <c r="E32" s="228" t="s">
        <v>711</v>
      </c>
      <c r="F32" s="304">
        <f t="shared" ref="F32" si="5">IF(SUM($F31:$J31)=0, "", F31/SUM($F31:$J31))</f>
        <v>0</v>
      </c>
      <c r="G32" s="305"/>
      <c r="H32" s="306">
        <f t="shared" ref="H32" si="6">IF(SUM($F31:$J31)=0, "", H31/SUM($F31:$J31))</f>
        <v>1</v>
      </c>
      <c r="I32" s="306"/>
      <c r="J32" s="305">
        <f>IF(SUM($F31:$J31)=0, "", J31/SUM($F31:$J31))</f>
        <v>0</v>
      </c>
      <c r="K32" s="307"/>
    </row>
    <row r="33" spans="1:17" ht="15.75" thickBot="1" x14ac:dyDescent="0.3"/>
    <row r="34" spans="1:17" ht="36.75" customHeight="1" x14ac:dyDescent="0.3">
      <c r="C34" s="268" t="str">
        <f>"Frequency of discipline by type for complaints closed in "&amp;$B$8</f>
        <v>Frequency of discipline by type for complaints closed in Q3</v>
      </c>
      <c r="D34" s="268"/>
      <c r="E34" s="268"/>
      <c r="F34" s="268"/>
      <c r="G34" s="208"/>
      <c r="I34" s="252" t="str">
        <f>$B$8&amp;" Summary"</f>
        <v>Q3 Summary</v>
      </c>
      <c r="J34" s="252"/>
      <c r="K34" s="252"/>
      <c r="M34" s="283" t="s">
        <v>625</v>
      </c>
      <c r="N34" s="284"/>
      <c r="O34" s="284"/>
      <c r="P34" s="285"/>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7" t="s">
        <v>621</v>
      </c>
      <c r="J35" s="278"/>
      <c r="K35" s="281">
        <f>SUM($B$67:$D$67)</f>
        <v>0</v>
      </c>
      <c r="M35" s="286"/>
      <c r="N35" s="287"/>
      <c r="O35" s="287"/>
      <c r="P35" s="288"/>
    </row>
    <row r="36" spans="1:17" ht="18.75" x14ac:dyDescent="0.3">
      <c r="B36" s="117"/>
      <c r="C36" s="117"/>
      <c r="D36" s="117"/>
      <c r="E36" s="210"/>
      <c r="F36" s="163" t="s">
        <v>664</v>
      </c>
      <c r="G36" s="210">
        <f t="shared" si="7"/>
        <v>1</v>
      </c>
      <c r="I36" s="279"/>
      <c r="J36" s="280"/>
      <c r="K36" s="282"/>
      <c r="M36" s="286"/>
      <c r="N36" s="287"/>
      <c r="O36" s="287"/>
      <c r="P36" s="288"/>
    </row>
    <row r="37" spans="1:17" ht="18.75" customHeight="1" x14ac:dyDescent="0.3">
      <c r="E37" s="209"/>
      <c r="F37" s="164" t="s">
        <v>665</v>
      </c>
      <c r="G37" s="209">
        <f t="shared" si="7"/>
        <v>0</v>
      </c>
      <c r="I37" s="269" t="s">
        <v>643</v>
      </c>
      <c r="J37" s="270"/>
      <c r="K37" s="211">
        <f>SUM($E$67:$G$67)</f>
        <v>1</v>
      </c>
      <c r="M37" s="286"/>
      <c r="N37" s="287"/>
      <c r="O37" s="287"/>
      <c r="P37" s="288"/>
    </row>
    <row r="38" spans="1:17" ht="18.75" x14ac:dyDescent="0.3">
      <c r="B38" s="117"/>
      <c r="C38" s="117"/>
      <c r="D38" s="117"/>
      <c r="E38" s="210"/>
      <c r="F38" s="163" t="s">
        <v>666</v>
      </c>
      <c r="G38" s="210">
        <f t="shared" si="7"/>
        <v>0</v>
      </c>
      <c r="I38" s="271" t="s">
        <v>622</v>
      </c>
      <c r="J38" s="272"/>
      <c r="K38" s="212">
        <f>$B$82</f>
        <v>1</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210"/>
      <c r="F40" s="163" t="s">
        <v>668</v>
      </c>
      <c r="G40" s="210">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209"/>
      <c r="F41" s="164" t="s">
        <v>693</v>
      </c>
      <c r="G41" s="209">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f t="shared" si="7"/>
        <v>0</v>
      </c>
      <c r="I42" s="279" t="str">
        <f>"Total Pending  at end of "&amp;$B$8</f>
        <v>Total Pending  at end of Q3</v>
      </c>
      <c r="J42" s="280"/>
      <c r="K42" s="282">
        <f>(SUM(K35:K37))-K38</f>
        <v>0</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f t="shared" si="7"/>
        <v>0</v>
      </c>
      <c r="I44" s="125"/>
      <c r="J44" s="125"/>
      <c r="K44" s="125"/>
      <c r="M44" s="289"/>
      <c r="N44" s="290"/>
      <c r="O44" s="290"/>
      <c r="P44" s="291"/>
    </row>
    <row r="45" spans="1:17" ht="18.75" x14ac:dyDescent="0.3">
      <c r="B45" s="125"/>
      <c r="C45" s="125"/>
      <c r="D45" s="125"/>
      <c r="E45" s="125"/>
      <c r="F45" s="170" t="s">
        <v>615</v>
      </c>
      <c r="G45" s="171">
        <f>SUM(G35:G44)</f>
        <v>1</v>
      </c>
    </row>
    <row r="48" spans="1:17" x14ac:dyDescent="0.25">
      <c r="A48" s="1"/>
      <c r="K48" s="244" t="s">
        <v>33</v>
      </c>
      <c r="L48" s="244"/>
      <c r="M48" s="245" t="str">
        <f>'Start Here'!C$13</f>
        <v xml:space="preserve">Lower Alloways Creek Police </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Q3: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6"/>
      <c r="O59" s="257"/>
      <c r="P59" s="258"/>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201">
        <f t="shared" si="8"/>
        <v>0</v>
      </c>
      <c r="C66" s="201">
        <f t="shared" si="8"/>
        <v>0</v>
      </c>
      <c r="D66" s="201">
        <f t="shared" si="8"/>
        <v>0</v>
      </c>
      <c r="E66" s="57">
        <f t="shared" si="9"/>
        <v>1</v>
      </c>
      <c r="F66" s="45">
        <f t="shared" si="9"/>
        <v>0</v>
      </c>
      <c r="G66" s="45">
        <f t="shared" si="9"/>
        <v>0</v>
      </c>
      <c r="H66" s="57">
        <f t="shared" si="10"/>
        <v>1</v>
      </c>
      <c r="I66" s="45" t="str">
        <f t="shared" si="11"/>
        <v/>
      </c>
      <c r="J66" s="45" t="str">
        <f t="shared" si="12"/>
        <v/>
      </c>
      <c r="K66" s="54"/>
      <c r="L66" s="54"/>
      <c r="M66" s="54"/>
      <c r="N66" s="259"/>
      <c r="O66" s="260"/>
      <c r="P66" s="261"/>
    </row>
    <row r="67" spans="1:31" x14ac:dyDescent="0.25">
      <c r="A67" s="161" t="s">
        <v>615</v>
      </c>
      <c r="B67" s="64">
        <f>SUM(B58:B66)</f>
        <v>0</v>
      </c>
      <c r="C67" s="64">
        <f t="shared" ref="C67:D67" si="13">SUM(C58:C66)</f>
        <v>0</v>
      </c>
      <c r="D67" s="64">
        <f t="shared" si="13"/>
        <v>0</v>
      </c>
      <c r="E67" s="60">
        <f>SUM(E58:E66)</f>
        <v>1</v>
      </c>
      <c r="F67" s="64">
        <f>SUM(F58:F66)</f>
        <v>0</v>
      </c>
      <c r="G67" s="64">
        <f>SUM(G58:G66)</f>
        <v>0</v>
      </c>
      <c r="H67" s="60">
        <f>IF(E67=0,"",(SUMIFS(OpenedNInitial,OpenedComplaintSource,H$57,OpenedComplaintReceived,"&gt;="&amp;$B$9,OpenedComplaintReceived,"&lt;="&amp;$B$10)/E67))</f>
        <v>1</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1</v>
      </c>
      <c r="C81" s="201">
        <f t="shared" ca="1" si="15"/>
        <v>189</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1</v>
      </c>
      <c r="C82" s="64">
        <f ca="1">IF(B82=0, "", SUM(C73:C81) / B82)</f>
        <v>189</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Q3: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f>'Start Here'!F$13</f>
        <v>0</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f t="shared" si="24"/>
        <v>0</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3">
        <f t="shared" si="24"/>
        <v>0</v>
      </c>
      <c r="C100" s="344"/>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1</v>
      </c>
      <c r="M100" s="200">
        <f t="shared" si="26"/>
        <v>0</v>
      </c>
    </row>
    <row r="101" spans="1:19" x14ac:dyDescent="0.25">
      <c r="A101" s="48" t="s">
        <v>615</v>
      </c>
      <c r="B101" s="345">
        <f>SUM(B92:C100)</f>
        <v>0</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1</v>
      </c>
      <c r="M101" s="60">
        <f>SUM(M92:N100)</f>
        <v>0</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1</v>
      </c>
      <c r="C117" s="201">
        <f t="shared" si="28"/>
        <v>0</v>
      </c>
      <c r="D117" s="201">
        <f t="shared" si="28"/>
        <v>0</v>
      </c>
      <c r="E117" s="88">
        <f t="shared" si="29"/>
        <v>1</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1</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1" t="str">
        <f>$B$8&amp;": Cases Opened and Closed, Alleged Other Rule Violations"</f>
        <v>Q3: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1</v>
      </c>
      <c r="H141" s="55">
        <f t="shared" si="41"/>
        <v>0</v>
      </c>
      <c r="I141" s="118">
        <f t="shared" si="42"/>
        <v>0</v>
      </c>
      <c r="J141" s="117">
        <f t="shared" si="43"/>
        <v>1</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1</v>
      </c>
      <c r="H142" s="119">
        <f t="shared" si="47"/>
        <v>0</v>
      </c>
      <c r="I142" s="119">
        <f>SUM(I126:I141)</f>
        <v>0</v>
      </c>
      <c r="J142" s="120">
        <f>IF(G142=0,"",(SUMIFS(OpenedNInitial,OpenedComplaintSource,H$57,OpenedComplaintReceived,"&gt;="&amp;$B$9,OpenedComplaintReceived,"&lt;="&amp;$B$10)/G142))</f>
        <v>1</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1</v>
      </c>
      <c r="E162" s="117">
        <f t="shared" ca="1" si="49"/>
        <v>189</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1</v>
      </c>
      <c r="E163" s="119">
        <f t="shared" ref="E163:Q163" ca="1" si="62">SUM(E147:E162)</f>
        <v>189</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Q3: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1</v>
      </c>
      <c r="E186" s="144">
        <f t="shared" si="63"/>
        <v>0</v>
      </c>
      <c r="F186" s="146">
        <f t="shared" si="63"/>
        <v>0</v>
      </c>
      <c r="G186" s="144">
        <f t="shared" si="64"/>
        <v>1</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1</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Q3: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Q3: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Q3: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pageSetUpPr fitToPage="1"/>
  </sheetPr>
  <dimension ref="A2:AE307"/>
  <sheetViews>
    <sheetView tabSelected="1" view="pageBreakPreview" topLeftCell="A100" zoomScale="78" zoomScaleNormal="100" zoomScaleSheetLayoutView="78" zoomScalePageLayoutView="60" workbookViewId="0">
      <selection activeCell="U111" sqref="U11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746</v>
      </c>
      <c r="C8" s="292" t="str">
        <f>$B$8&amp;" Internal Affairs Summary"</f>
        <v>Q4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44835</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44926</v>
      </c>
      <c r="C10" s="347" t="str">
        <f>"Internal Affairs: "&amp;$B$8&amp;" Snapshot"</f>
        <v>Internal Affairs: Q4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Q4.</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3"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v>1</v>
      </c>
      <c r="G17" s="274"/>
      <c r="H17" s="303">
        <f t="shared" si="1"/>
        <v>0</v>
      </c>
      <c r="I17" s="303"/>
      <c r="J17" s="303">
        <f t="shared" si="2"/>
        <v>0</v>
      </c>
      <c r="K17" s="303"/>
      <c r="L17" s="303">
        <v>1</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v>0</v>
      </c>
      <c r="G24" s="272"/>
      <c r="H24" s="301">
        <f t="shared" si="1"/>
        <v>0</v>
      </c>
      <c r="I24" s="301"/>
      <c r="J24" s="301">
        <f t="shared" si="2"/>
        <v>0</v>
      </c>
      <c r="K24" s="301"/>
      <c r="L24" s="301">
        <f t="shared" si="3"/>
        <v>0</v>
      </c>
      <c r="M24" s="301"/>
    </row>
    <row r="25" spans="3:16" ht="18.75" x14ac:dyDescent="0.3">
      <c r="C25" s="132"/>
      <c r="D25" s="132"/>
      <c r="E25" s="165" t="s">
        <v>615</v>
      </c>
      <c r="F25" s="308">
        <f>SUM(F16:F24)</f>
        <v>1</v>
      </c>
      <c r="G25" s="309"/>
      <c r="H25" s="310">
        <f t="shared" ref="H25" si="4">SUM(H16:H24)</f>
        <v>0</v>
      </c>
      <c r="I25" s="310"/>
      <c r="J25" s="310">
        <f>SUM(J16:J24)</f>
        <v>0</v>
      </c>
      <c r="K25" s="310"/>
      <c r="L25" s="310">
        <f>SUM(L16:L24)</f>
        <v>1</v>
      </c>
      <c r="M25" s="310"/>
    </row>
    <row r="28" spans="3:16" ht="21" x14ac:dyDescent="0.35">
      <c r="F28" s="293" t="str">
        <f>"Distribution of sources for complaints closed in "&amp;$B$8</f>
        <v>Distribution of sources for complaints closed in Q4</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0</v>
      </c>
      <c r="I31" s="298"/>
      <c r="J31" s="297">
        <v>1</v>
      </c>
      <c r="K31" s="299"/>
      <c r="L31" s="184"/>
      <c r="M31" s="184"/>
      <c r="N31" s="184"/>
      <c r="O31" s="184"/>
      <c r="P31" s="184"/>
    </row>
    <row r="32" spans="3:16" ht="18.75" x14ac:dyDescent="0.3">
      <c r="E32" s="228" t="s">
        <v>711</v>
      </c>
      <c r="F32" s="304">
        <f t="shared" ref="F32" si="5">IF(SUM($F31:$J31)=0, "", F31/SUM($F31:$J31))</f>
        <v>0</v>
      </c>
      <c r="G32" s="305"/>
      <c r="H32" s="306">
        <f t="shared" ref="H32" si="6">IF(SUM($F31:$J31)=0, "", H31/SUM($F31:$J31))</f>
        <v>0</v>
      </c>
      <c r="I32" s="306"/>
      <c r="J32" s="305">
        <f>IF(SUM($F31:$J31)=0, "", J31/SUM($F31:$J31))</f>
        <v>1</v>
      </c>
      <c r="K32" s="307"/>
    </row>
    <row r="33" spans="1:17" ht="15.75" thickBot="1" x14ac:dyDescent="0.3"/>
    <row r="34" spans="1:17" ht="36.75" customHeight="1" x14ac:dyDescent="0.3">
      <c r="C34" s="268" t="str">
        <f>"Frequency of discipline by type for complaints closed in "&amp;$B$8</f>
        <v>Frequency of discipline by type for complaints closed in Q4</v>
      </c>
      <c r="D34" s="268"/>
      <c r="E34" s="268"/>
      <c r="F34" s="268"/>
      <c r="G34" s="208"/>
      <c r="I34" s="252" t="str">
        <f>$B$8&amp;" Summary"</f>
        <v>Q4 Summary</v>
      </c>
      <c r="J34" s="252"/>
      <c r="K34" s="252"/>
      <c r="M34" s="283" t="s">
        <v>625</v>
      </c>
      <c r="N34" s="284"/>
      <c r="O34" s="284"/>
      <c r="P34" s="285"/>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7" t="s">
        <v>621</v>
      </c>
      <c r="J35" s="278"/>
      <c r="K35" s="281">
        <f>SUM($B$67:$D$67)</f>
        <v>2</v>
      </c>
      <c r="M35" s="286"/>
      <c r="N35" s="287"/>
      <c r="O35" s="287"/>
      <c r="P35" s="288"/>
    </row>
    <row r="36" spans="1:17" ht="18.75" x14ac:dyDescent="0.3">
      <c r="B36" s="117"/>
      <c r="C36" s="117"/>
      <c r="D36" s="117"/>
      <c r="E36" s="210"/>
      <c r="F36" s="163" t="s">
        <v>664</v>
      </c>
      <c r="G36" s="210">
        <f t="shared" si="7"/>
        <v>0</v>
      </c>
      <c r="I36" s="279"/>
      <c r="J36" s="280"/>
      <c r="K36" s="282"/>
      <c r="M36" s="286"/>
      <c r="N36" s="287"/>
      <c r="O36" s="287"/>
      <c r="P36" s="288"/>
    </row>
    <row r="37" spans="1:17" ht="18.75" customHeight="1" x14ac:dyDescent="0.3">
      <c r="E37" s="209"/>
      <c r="F37" s="164" t="s">
        <v>665</v>
      </c>
      <c r="G37" s="209">
        <f t="shared" si="7"/>
        <v>0</v>
      </c>
      <c r="I37" s="269" t="s">
        <v>643</v>
      </c>
      <c r="J37" s="270"/>
      <c r="K37" s="211">
        <v>1</v>
      </c>
      <c r="M37" s="286"/>
      <c r="N37" s="287"/>
      <c r="O37" s="287"/>
      <c r="P37" s="288"/>
    </row>
    <row r="38" spans="1:17" ht="18.75" x14ac:dyDescent="0.3">
      <c r="B38" s="117"/>
      <c r="C38" s="117"/>
      <c r="D38" s="117"/>
      <c r="E38" s="210"/>
      <c r="F38" s="163" t="s">
        <v>666</v>
      </c>
      <c r="G38" s="210">
        <f t="shared" si="7"/>
        <v>0</v>
      </c>
      <c r="I38" s="271" t="s">
        <v>622</v>
      </c>
      <c r="J38" s="272"/>
      <c r="K38" s="212">
        <f>$B$82</f>
        <v>1</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210"/>
      <c r="F40" s="163" t="s">
        <v>668</v>
      </c>
      <c r="G40" s="210">
        <f t="shared" si="7"/>
        <v>0</v>
      </c>
      <c r="I40" s="275" t="s">
        <v>618</v>
      </c>
      <c r="J40" s="276"/>
      <c r="K40" s="212">
        <v>1</v>
      </c>
      <c r="M40" s="286"/>
      <c r="N40" s="287"/>
      <c r="O40" s="287"/>
      <c r="P40" s="288"/>
    </row>
    <row r="41" spans="1:17" ht="18.75" x14ac:dyDescent="0.3">
      <c r="E41" s="209"/>
      <c r="F41" s="164" t="s">
        <v>693</v>
      </c>
      <c r="G41" s="209">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v>1</v>
      </c>
      <c r="I42" s="279" t="str">
        <f>"Total Pending  at end of "&amp;$B$8</f>
        <v>Total Pending  at end of Q4</v>
      </c>
      <c r="J42" s="280"/>
      <c r="K42" s="282">
        <f>(SUM(K35:K37))-K38</f>
        <v>2</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f t="shared" si="7"/>
        <v>1</v>
      </c>
      <c r="I44" s="125"/>
      <c r="J44" s="125"/>
      <c r="K44" s="125"/>
      <c r="M44" s="289"/>
      <c r="N44" s="290"/>
      <c r="O44" s="290"/>
      <c r="P44" s="291"/>
    </row>
    <row r="45" spans="1:17" ht="18.75" x14ac:dyDescent="0.3">
      <c r="B45" s="125"/>
      <c r="C45" s="125"/>
      <c r="D45" s="125"/>
      <c r="E45" s="125"/>
      <c r="F45" s="170" t="s">
        <v>615</v>
      </c>
      <c r="G45" s="171">
        <f>SUM(G35:G44)</f>
        <v>2</v>
      </c>
    </row>
    <row r="48" spans="1:17" x14ac:dyDescent="0.25">
      <c r="A48" s="1"/>
      <c r="K48" s="244" t="s">
        <v>33</v>
      </c>
      <c r="L48" s="244"/>
      <c r="M48" s="245" t="str">
        <f>'Start Here'!C$13</f>
        <v xml:space="preserve">Lower Alloways Creek Police </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Q4: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v>1</v>
      </c>
      <c r="D59" s="55">
        <f t="shared" si="8"/>
        <v>0</v>
      </c>
      <c r="E59" s="56">
        <f t="shared" si="9"/>
        <v>0</v>
      </c>
      <c r="F59" s="46">
        <f t="shared" si="9"/>
        <v>1</v>
      </c>
      <c r="G59" s="46">
        <f t="shared" si="9"/>
        <v>0</v>
      </c>
      <c r="H59" s="56" t="str">
        <f t="shared" si="10"/>
        <v/>
      </c>
      <c r="I59" s="46">
        <f t="shared" si="11"/>
        <v>1</v>
      </c>
      <c r="J59" s="46" t="str">
        <f t="shared" si="12"/>
        <v/>
      </c>
      <c r="K59" s="54"/>
      <c r="L59" s="54"/>
      <c r="N59" s="256"/>
      <c r="O59" s="257"/>
      <c r="P59" s="258"/>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201">
        <f t="shared" si="8"/>
        <v>1</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59"/>
      <c r="O66" s="260"/>
      <c r="P66" s="261"/>
    </row>
    <row r="67" spans="1:31" x14ac:dyDescent="0.25">
      <c r="A67" s="161" t="s">
        <v>615</v>
      </c>
      <c r="B67" s="64">
        <f>SUM(B58:B66)</f>
        <v>1</v>
      </c>
      <c r="C67" s="64">
        <f t="shared" ref="C67:D67" si="13">SUM(C58:C66)</f>
        <v>1</v>
      </c>
      <c r="D67" s="64">
        <f t="shared" si="13"/>
        <v>0</v>
      </c>
      <c r="E67" s="60">
        <f>SUM(E58:E66)</f>
        <v>0</v>
      </c>
      <c r="F67" s="64">
        <f>SUM(F58:F66)</f>
        <v>1</v>
      </c>
      <c r="G67" s="64">
        <f>SUM(G58:G66)</f>
        <v>0</v>
      </c>
      <c r="H67" s="60" t="str">
        <f>IF(E67=0,"",(SUMIFS(OpenedNInitial,OpenedComplaintSource,H$57,OpenedComplaintReceived,"&gt;="&amp;$B$9,OpenedComplaintReceived,"&lt;="&amp;$B$10)/E67))</f>
        <v/>
      </c>
      <c r="I67" s="64">
        <f>IF(F67=0,"",(SUMIFS(OpenedNInitial,OpenedComplaintSource,I$57,OpenedComplaintReceived,"&gt;="&amp;$B$9,OpenedComplaintReceived,"&lt;="&amp;$B$10)/F67))</f>
        <v>1</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v>1</v>
      </c>
      <c r="C74" s="55">
        <f t="shared" ca="1" si="15"/>
        <v>51</v>
      </c>
      <c r="D74" s="55">
        <f t="shared" si="16"/>
        <v>0</v>
      </c>
      <c r="E74" s="56">
        <f t="shared" si="17"/>
        <v>0</v>
      </c>
      <c r="F74" s="46">
        <v>1</v>
      </c>
      <c r="G74" s="46">
        <f t="shared" si="17"/>
        <v>0</v>
      </c>
      <c r="H74" s="56">
        <f t="shared" si="18"/>
        <v>0</v>
      </c>
      <c r="I74" s="46">
        <f t="shared" si="18"/>
        <v>0</v>
      </c>
      <c r="J74" s="46">
        <f t="shared" si="18"/>
        <v>0</v>
      </c>
      <c r="K74" s="47">
        <f t="shared" si="18"/>
        <v>0</v>
      </c>
      <c r="L74" s="56">
        <f t="shared" si="19"/>
        <v>0</v>
      </c>
      <c r="M74" s="46">
        <v>1</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1</v>
      </c>
      <c r="C82" s="64">
        <f ca="1">IF(B82=0, "", SUM(C73:C81) / B82)</f>
        <v>51</v>
      </c>
      <c r="D82" s="64">
        <f t="shared" ref="D82" si="22">SUM(D73:D81)</f>
        <v>0</v>
      </c>
      <c r="E82" s="60">
        <f t="shared" ref="E82:O82" si="23">SUM(E73:E81)</f>
        <v>0</v>
      </c>
      <c r="F82" s="64">
        <f t="shared" si="23"/>
        <v>1</v>
      </c>
      <c r="G82" s="64">
        <f t="shared" si="23"/>
        <v>0</v>
      </c>
      <c r="H82" s="60">
        <f t="shared" si="23"/>
        <v>0</v>
      </c>
      <c r="I82" s="64">
        <f t="shared" si="23"/>
        <v>0</v>
      </c>
      <c r="J82" s="64">
        <f t="shared" si="23"/>
        <v>0</v>
      </c>
      <c r="K82" s="64">
        <f t="shared" si="23"/>
        <v>0</v>
      </c>
      <c r="L82" s="60">
        <f t="shared" si="23"/>
        <v>0</v>
      </c>
      <c r="M82" s="64">
        <f t="shared" si="23"/>
        <v>1</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Q4: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t="s">
        <v>761</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v>1</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v>1</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3">
        <f t="shared" si="24"/>
        <v>0</v>
      </c>
      <c r="C100" s="344"/>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5">
        <f>SUM(B92:C100)</f>
        <v>1</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1</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v>1</v>
      </c>
      <c r="D110" s="55">
        <f t="shared" si="28"/>
        <v>0</v>
      </c>
      <c r="E110" s="56" t="str">
        <f t="shared" si="29"/>
        <v/>
      </c>
      <c r="F110" s="46">
        <f t="shared" si="30"/>
        <v>0</v>
      </c>
      <c r="G110" s="46" t="str">
        <f t="shared" si="31"/>
        <v/>
      </c>
      <c r="H110" s="56">
        <f t="shared" si="32"/>
        <v>0</v>
      </c>
      <c r="I110" s="55">
        <f t="shared" si="32"/>
        <v>0</v>
      </c>
      <c r="J110" s="55">
        <f t="shared" si="32"/>
        <v>0</v>
      </c>
      <c r="K110" s="56" t="str">
        <f t="shared" si="33"/>
        <v/>
      </c>
      <c r="L110" s="55">
        <v>1</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1</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0</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v>1</v>
      </c>
    </row>
    <row r="120" spans="1:17" x14ac:dyDescent="0.25">
      <c r="A120" s="341" t="str">
        <f>$B$8&amp;": Cases Opened and Closed, Alleged Other Rule Violations"</f>
        <v>Q4: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t="s">
        <v>761</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1</v>
      </c>
      <c r="E141" s="55">
        <f t="shared" si="38"/>
        <v>0</v>
      </c>
      <c r="F141" s="118">
        <f t="shared" si="39"/>
        <v>0</v>
      </c>
      <c r="G141" s="55">
        <f t="shared" si="40"/>
        <v>0</v>
      </c>
      <c r="H141" s="55">
        <f t="shared" si="41"/>
        <v>1</v>
      </c>
      <c r="I141" s="118">
        <f t="shared" si="42"/>
        <v>0</v>
      </c>
      <c r="J141" s="117" t="str">
        <f t="shared" si="43"/>
        <v/>
      </c>
      <c r="K141" s="117">
        <f t="shared" si="44"/>
        <v>1</v>
      </c>
      <c r="L141" s="117" t="str">
        <f t="shared" si="45"/>
        <v/>
      </c>
    </row>
    <row r="142" spans="1:23" x14ac:dyDescent="0.25">
      <c r="A142" s="5"/>
      <c r="B142" s="5"/>
      <c r="C142" s="5"/>
      <c r="D142" s="120">
        <f t="shared" ref="D142" si="46">SUM(D126:D141)</f>
        <v>1</v>
      </c>
      <c r="E142" s="119">
        <f>SUM(E126:E141)</f>
        <v>0</v>
      </c>
      <c r="F142" s="119">
        <f>SUM(F126:F141)</f>
        <v>0</v>
      </c>
      <c r="G142" s="120">
        <f t="shared" ref="G142:H142" si="47">SUM(G126:G141)</f>
        <v>0</v>
      </c>
      <c r="H142" s="119">
        <f t="shared" si="47"/>
        <v>1</v>
      </c>
      <c r="I142" s="119">
        <f>SUM(I126:I141)</f>
        <v>0</v>
      </c>
      <c r="J142" s="120" t="str">
        <f>IF(G142=0,"",(SUMIFS(OpenedNInitial,OpenedComplaintSource,H$57,OpenedComplaintReceived,"&gt;="&amp;$B$9,OpenedComplaintReceived,"&lt;="&amp;$B$10)/G142))</f>
        <v/>
      </c>
      <c r="K142" s="119">
        <f>IF(H142=0,"",(SUMIFS(OpenedNInitial,OpenedComplaintSource,I$57,OpenedComplaintReceived,"&gt;="&amp;$B$9,OpenedComplaintReceived,"&lt;="&amp;$B$10)/H142))</f>
        <v>1</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1</v>
      </c>
      <c r="E162" s="117">
        <f t="shared" ca="1" si="49"/>
        <v>51</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1</v>
      </c>
      <c r="E163" s="119">
        <f t="shared" ref="E163:Q163" ca="1" si="62">SUM(E147:E162)</f>
        <v>51</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Q4: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t="s">
        <v>762</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Q4: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t="s">
        <v>762</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Q4: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t="s">
        <v>762</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Q4: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t="s">
        <v>762</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v>1</v>
      </c>
      <c r="F277">
        <f t="shared" si="93"/>
        <v>0</v>
      </c>
      <c r="G277">
        <f t="shared" si="93"/>
        <v>0</v>
      </c>
      <c r="H277">
        <f t="shared" si="93"/>
        <v>0</v>
      </c>
      <c r="I277">
        <f t="shared" si="93"/>
        <v>0</v>
      </c>
      <c r="J277">
        <f t="shared" si="93"/>
        <v>0</v>
      </c>
      <c r="K277">
        <f t="shared" si="93"/>
        <v>0</v>
      </c>
      <c r="L277" s="114">
        <f t="shared" si="93"/>
        <v>0</v>
      </c>
      <c r="M277" s="135">
        <f t="shared" si="94"/>
        <v>1</v>
      </c>
    </row>
    <row r="278" spans="1:13" x14ac:dyDescent="0.25">
      <c r="A278" s="44" t="s">
        <v>697</v>
      </c>
      <c r="B278" s="132"/>
      <c r="C278" s="136"/>
      <c r="D278" s="132">
        <f>SUM(D269:D277)</f>
        <v>0</v>
      </c>
      <c r="E278" s="132">
        <f t="shared" ref="E278:L278" si="95">SUM(E269:E277)</f>
        <v>1</v>
      </c>
      <c r="F278" s="132">
        <f t="shared" si="95"/>
        <v>0</v>
      </c>
      <c r="G278" s="132">
        <f t="shared" si="95"/>
        <v>0</v>
      </c>
      <c r="H278" s="132">
        <f t="shared" si="95"/>
        <v>0</v>
      </c>
      <c r="I278" s="132">
        <f t="shared" si="95"/>
        <v>0</v>
      </c>
      <c r="J278" s="132">
        <f t="shared" si="95"/>
        <v>0</v>
      </c>
      <c r="K278" s="132">
        <f t="shared" si="95"/>
        <v>0</v>
      </c>
      <c r="L278" s="136">
        <f t="shared" si="95"/>
        <v>0</v>
      </c>
      <c r="M278" s="140">
        <f t="shared" si="94"/>
        <v>1</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Michael DeParre</cp:lastModifiedBy>
  <cp:lastPrinted>2022-01-04T15:32:56Z</cp:lastPrinted>
  <dcterms:created xsi:type="dcterms:W3CDTF">2020-04-02T16:56:18Z</dcterms:created>
  <dcterms:modified xsi:type="dcterms:W3CDTF">2023-01-13T18:12:19Z</dcterms:modified>
</cp:coreProperties>
</file>